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nathan.crowe/NinjaRMM Dropbox/Jonathan Crowe/Mac/Desktop/Content/MSP Cost Calculator/"/>
    </mc:Choice>
  </mc:AlternateContent>
  <xr:revisionPtr revIDLastSave="0" documentId="13_ncr:1_{4C54C69E-F3FC-BB44-B340-F54155CB2BB5}" xr6:coauthVersionLast="47" xr6:coauthVersionMax="47" xr10:uidLastSave="{00000000-0000-0000-0000-000000000000}"/>
  <bookViews>
    <workbookView xWindow="1540" yWindow="580" windowWidth="26620" windowHeight="15240" xr2:uid="{00000000-000D-0000-FFFF-FFFF00000000}"/>
  </bookViews>
  <sheets>
    <sheet name="Calculator" sheetId="9" r:id="rId1"/>
    <sheet name="TECH Cost--Burdened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9" l="1"/>
  <c r="G47" i="9"/>
  <c r="C10" i="15" l="1"/>
  <c r="G49" i="9" l="1"/>
  <c r="D10" i="15" l="1"/>
  <c r="E10" i="15"/>
  <c r="F10" i="15"/>
  <c r="G10" i="15"/>
  <c r="H10" i="15"/>
  <c r="I10" i="15"/>
  <c r="J10" i="15"/>
  <c r="K10" i="15"/>
  <c r="C16" i="15"/>
  <c r="C17" i="15"/>
  <c r="C18" i="15"/>
  <c r="C22" i="15"/>
  <c r="G42" i="9" l="1"/>
  <c r="G41" i="9"/>
  <c r="G40" i="9"/>
  <c r="G39" i="9"/>
  <c r="G38" i="9"/>
  <c r="G37" i="9"/>
  <c r="G32" i="9"/>
  <c r="G31" i="9"/>
  <c r="G30" i="9"/>
  <c r="G26" i="9"/>
  <c r="G25" i="9"/>
  <c r="G24" i="9"/>
  <c r="G23" i="9"/>
  <c r="G21" i="9"/>
  <c r="G20" i="9"/>
  <c r="G19" i="9"/>
  <c r="G18" i="9"/>
  <c r="G16" i="9"/>
  <c r="G15" i="9"/>
  <c r="G14" i="9"/>
  <c r="G13" i="9"/>
  <c r="C7" i="9"/>
  <c r="G57" i="9" s="1"/>
  <c r="G33" i="9" l="1"/>
  <c r="E22" i="9"/>
  <c r="G22" i="9" s="1"/>
  <c r="G27" i="9" s="1"/>
  <c r="E36" i="9"/>
  <c r="G36" i="9" s="1"/>
  <c r="G43" i="9" s="1"/>
  <c r="G53" i="9"/>
  <c r="L23" i="15"/>
  <c r="K23" i="15"/>
  <c r="J23" i="15"/>
  <c r="I23" i="15"/>
  <c r="H23" i="15"/>
  <c r="G23" i="15"/>
  <c r="F23" i="15"/>
  <c r="E23" i="15"/>
  <c r="D23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D9" i="15"/>
  <c r="E6" i="15"/>
  <c r="F6" i="15" s="1"/>
  <c r="G6" i="15" s="1"/>
  <c r="H6" i="15" s="1"/>
  <c r="I6" i="15" s="1"/>
  <c r="J6" i="15" s="1"/>
  <c r="E11" i="15" l="1"/>
  <c r="D11" i="15"/>
  <c r="D15" i="15" s="1"/>
  <c r="D17" i="15" s="1"/>
  <c r="E9" i="15"/>
  <c r="D22" i="15" l="1"/>
  <c r="D18" i="15"/>
  <c r="E22" i="15"/>
  <c r="E15" i="15"/>
  <c r="D16" i="15"/>
  <c r="D12" i="15"/>
  <c r="D24" i="15" s="1"/>
  <c r="E12" i="15"/>
  <c r="E24" i="15" s="1"/>
  <c r="F9" i="15"/>
  <c r="F11" i="15"/>
  <c r="F15" i="15" s="1"/>
  <c r="E18" i="15" l="1"/>
  <c r="E16" i="15"/>
  <c r="E17" i="15"/>
  <c r="F18" i="15"/>
  <c r="F16" i="15"/>
  <c r="F17" i="15"/>
  <c r="D25" i="15"/>
  <c r="F12" i="15"/>
  <c r="F24" i="15" s="1"/>
  <c r="F22" i="15"/>
  <c r="G11" i="15"/>
  <c r="G15" i="15" s="1"/>
  <c r="G9" i="15"/>
  <c r="E25" i="15" l="1"/>
  <c r="E28" i="15" s="1"/>
  <c r="E30" i="15" s="1"/>
  <c r="G18" i="15"/>
  <c r="G16" i="15"/>
  <c r="G17" i="15"/>
  <c r="H9" i="15"/>
  <c r="H11" i="15"/>
  <c r="H15" i="15" s="1"/>
  <c r="G12" i="15"/>
  <c r="G24" i="15" s="1"/>
  <c r="G22" i="15"/>
  <c r="D28" i="15"/>
  <c r="D30" i="15" s="1"/>
  <c r="D31" i="15"/>
  <c r="F25" i="15"/>
  <c r="E31" i="15" l="1"/>
  <c r="E29" i="15" s="1"/>
  <c r="H18" i="15"/>
  <c r="H16" i="15"/>
  <c r="H17" i="15"/>
  <c r="G25" i="15"/>
  <c r="I11" i="15"/>
  <c r="I15" i="15" s="1"/>
  <c r="I9" i="15"/>
  <c r="H12" i="15"/>
  <c r="H24" i="15" s="1"/>
  <c r="H22" i="15"/>
  <c r="F28" i="15"/>
  <c r="F30" i="15" s="1"/>
  <c r="F31" i="15"/>
  <c r="F29" i="15" s="1"/>
  <c r="D29" i="15"/>
  <c r="I18" i="15" l="1"/>
  <c r="I16" i="15"/>
  <c r="I17" i="15"/>
  <c r="J11" i="15"/>
  <c r="J15" i="15" s="1"/>
  <c r="J9" i="15"/>
  <c r="I12" i="15"/>
  <c r="I24" i="15" s="1"/>
  <c r="I22" i="15"/>
  <c r="G28" i="15"/>
  <c r="G30" i="15" s="1"/>
  <c r="G31" i="15"/>
  <c r="J18" i="15" l="1"/>
  <c r="J16" i="15"/>
  <c r="J17" i="15"/>
  <c r="K9" i="15"/>
  <c r="L9" i="15" s="1"/>
  <c r="K11" i="15"/>
  <c r="K15" i="15" s="1"/>
  <c r="L7" i="15"/>
  <c r="H25" i="15"/>
  <c r="I25" i="15"/>
  <c r="G29" i="15"/>
  <c r="J12" i="15"/>
  <c r="J24" i="15" s="1"/>
  <c r="J22" i="15"/>
  <c r="K18" i="15" l="1"/>
  <c r="K17" i="15"/>
  <c r="K16" i="15"/>
  <c r="L15" i="15"/>
  <c r="J25" i="15"/>
  <c r="H28" i="15"/>
  <c r="H30" i="15" s="1"/>
  <c r="H31" i="15"/>
  <c r="K12" i="15"/>
  <c r="K24" i="15" s="1"/>
  <c r="K22" i="15"/>
  <c r="L11" i="15"/>
  <c r="I28" i="15"/>
  <c r="I30" i="15" s="1"/>
  <c r="I31" i="15"/>
  <c r="I29" i="15" s="1"/>
  <c r="L17" i="15" l="1"/>
  <c r="L18" i="15"/>
  <c r="L22" i="15"/>
  <c r="L16" i="15"/>
  <c r="H29" i="15"/>
  <c r="L12" i="15"/>
  <c r="L24" i="15" s="1"/>
  <c r="J28" i="15"/>
  <c r="J30" i="15" s="1"/>
  <c r="J31" i="15"/>
  <c r="J29" i="15" s="1"/>
  <c r="L25" i="15" l="1"/>
  <c r="L28" i="15" s="1"/>
  <c r="K25" i="15"/>
  <c r="K28" i="15" s="1"/>
  <c r="K30" i="15" l="1"/>
  <c r="L30" i="15" s="1"/>
  <c r="K31" i="15"/>
  <c r="F10" i="9" l="1"/>
  <c r="G10" i="9" s="1"/>
  <c r="G45" i="9" s="1"/>
  <c r="K29" i="15"/>
  <c r="L31" i="15"/>
  <c r="L29" i="15" s="1"/>
  <c r="G58" i="9" l="1"/>
  <c r="G55" i="9"/>
  <c r="G50" i="9"/>
  <c r="G56" i="9" l="1"/>
  <c r="G59" i="9"/>
  <c r="G51" i="9"/>
</calcChain>
</file>

<file path=xl/sharedStrings.xml><?xml version="1.0" encoding="utf-8"?>
<sst xmlns="http://schemas.openxmlformats.org/spreadsheetml/2006/main" count="110" uniqueCount="97">
  <si>
    <t>Description</t>
  </si>
  <si>
    <t>Quantity</t>
  </si>
  <si>
    <t>Server HAAS</t>
  </si>
  <si>
    <t>Totals</t>
  </si>
  <si>
    <t>Web Hosting</t>
  </si>
  <si>
    <t>Cost</t>
  </si>
  <si>
    <t xml:space="preserve">Secondary Backup </t>
  </si>
  <si>
    <t>RMM agents</t>
  </si>
  <si>
    <t>E3</t>
  </si>
  <si>
    <t>M365</t>
  </si>
  <si>
    <t>Business Basic</t>
  </si>
  <si>
    <t>Business Standard</t>
  </si>
  <si>
    <t>Azure AD</t>
  </si>
  <si>
    <t>EMS E3</t>
  </si>
  <si>
    <t>Web Filtering / DNS</t>
  </si>
  <si>
    <t>SSO: Single Sign On</t>
  </si>
  <si>
    <t>Averages</t>
  </si>
  <si>
    <t>Social Security w/h:</t>
  </si>
  <si>
    <t>Medicare w/h:</t>
  </si>
  <si>
    <t>Dental Ins:</t>
  </si>
  <si>
    <t>Disability Ins:</t>
  </si>
  <si>
    <t>Level</t>
  </si>
  <si>
    <t>Service</t>
  </si>
  <si>
    <t>Manager</t>
  </si>
  <si>
    <t>Tech COGS Burden--Monthly:</t>
  </si>
  <si>
    <t>Plan Name</t>
  </si>
  <si>
    <t>Servers</t>
  </si>
  <si>
    <t>NOC  Services: Servers</t>
  </si>
  <si>
    <t>NOC Services Additional</t>
  </si>
  <si>
    <t>Tech Support Hours</t>
  </si>
  <si>
    <t>Tools / Services</t>
  </si>
  <si>
    <t>Pen Testing</t>
  </si>
  <si>
    <t>Incident Response</t>
  </si>
  <si>
    <t>Dark Web Monitoring</t>
  </si>
  <si>
    <t>MFA</t>
  </si>
  <si>
    <t>Antivirus</t>
  </si>
  <si>
    <t>Blue cells will populate automatically</t>
  </si>
  <si>
    <t>Note:</t>
  </si>
  <si>
    <t>Per Seat Price</t>
  </si>
  <si>
    <t>Total Endpoints</t>
  </si>
  <si>
    <t>PCs and MACs</t>
  </si>
  <si>
    <t>Sec Awareness Training</t>
  </si>
  <si>
    <t>`</t>
  </si>
  <si>
    <t>NOC Services: Helpdesk</t>
  </si>
  <si>
    <t>Monthly Profit Per Seat</t>
  </si>
  <si>
    <t xml:space="preserve"> Monthly Cost / Overhead Per Seat</t>
  </si>
  <si>
    <t>Backup</t>
  </si>
  <si>
    <t># of Seats</t>
  </si>
  <si>
    <t># of seats = # of users</t>
  </si>
  <si>
    <t>File Synch and Share</t>
  </si>
  <si>
    <t>MSP Stack</t>
  </si>
  <si>
    <t>Outsourced NOC Stack</t>
  </si>
  <si>
    <t>PTO--Avg. HRS per MO:</t>
  </si>
  <si>
    <t>PTO--Total $ per MO:</t>
  </si>
  <si>
    <t>Base MO Pay--Adjusted:</t>
  </si>
  <si>
    <t>Work HRS per MO:</t>
  </si>
  <si>
    <t>Base HRLY Pay:</t>
  </si>
  <si>
    <t>Base HRLY Pay--Adjusted:</t>
  </si>
  <si>
    <t>TECH share of Health Ins:</t>
  </si>
  <si>
    <t xml:space="preserve">TECH Incentive-Bonus: </t>
  </si>
  <si>
    <t>Profit % before commission:</t>
  </si>
  <si>
    <t>TECH COGS Burden--MO</t>
  </si>
  <si>
    <t>TECH COGS Burden--HRLY:</t>
  </si>
  <si>
    <t>TECH COGS Burden--%:</t>
  </si>
  <si>
    <t>TECH Base MO Pay:</t>
  </si>
  <si>
    <t>TECH Fully Burdened Overhead</t>
  </si>
  <si>
    <t>Monthly Profit Per Endpoint:</t>
  </si>
  <si>
    <t>Cost of Goods Sold (COGS): Tech + Stacks + Sales Commission Total:</t>
  </si>
  <si>
    <t>Example</t>
  </si>
  <si>
    <t>Per Seat Price:</t>
  </si>
  <si>
    <t>Carries over to Calculator and populates Tech Support Hours Cost</t>
  </si>
  <si>
    <t xml:space="preserve"> Monthly Revenue Per Endpoint:</t>
  </si>
  <si>
    <t>Monthly Cost / Overhead Per Endpoint:</t>
  </si>
  <si>
    <t>Cybersecurity Stack</t>
  </si>
  <si>
    <t>MSP Stack Sub-Total:</t>
  </si>
  <si>
    <t>Outsourced NOC Stack Sub-Total:</t>
  </si>
  <si>
    <t>Cyber Stack Sub-Total:</t>
  </si>
  <si>
    <t>Managed Services Agreement Price:</t>
  </si>
  <si>
    <t>Instructions</t>
  </si>
  <si>
    <t>Business Premium</t>
  </si>
  <si>
    <t>Managed Services Agreement Profit:</t>
  </si>
  <si>
    <t>Sales Commission $:</t>
  </si>
  <si>
    <t>Sales Commission %:</t>
  </si>
  <si>
    <t>% Gross Profit: 70% is a great goal to shoot for; should be &gt;50%</t>
  </si>
  <si>
    <t>TECH: Cost of Goods Sold (COGS) Burden</t>
  </si>
  <si>
    <t>TECH TOTAL--HRLY:</t>
  </si>
  <si>
    <t>TECH TOTAL--MO:</t>
  </si>
  <si>
    <t>MDR</t>
  </si>
  <si>
    <t>* COLA = Cost of Living Allowance https://www.easycalculation.com/budget/cost-of-living.php</t>
  </si>
  <si>
    <t>**Unemployment Tax w/h:</t>
  </si>
  <si>
    <t>** State unemployment tax % withholding varies by state</t>
  </si>
  <si>
    <t>Technician Cost Hourly Calculation</t>
  </si>
  <si>
    <t>*Localized COLA factor:</t>
  </si>
  <si>
    <t>No input needed</t>
  </si>
  <si>
    <t>Update these cells with your quantities and costs</t>
  </si>
  <si>
    <t>Update these cells with quantities and costs</t>
  </si>
  <si>
    <t>Generated in "Tech-Cost--Burdened"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</si>
</sst>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Montserrat Regular"/>
    </font>
    <font>
      <b/>
      <u/>
      <sz val="11"/>
      <color theme="1"/>
      <name val="Montserrat Regular"/>
    </font>
    <font>
      <sz val="11"/>
      <color theme="1"/>
      <name val="Montserrat Regular"/>
    </font>
    <font>
      <b/>
      <sz val="11"/>
      <name val="Montserrat Regular"/>
    </font>
    <font>
      <b/>
      <sz val="11"/>
      <color theme="0"/>
      <name val="Montserrat Regular"/>
    </font>
    <font>
      <sz val="11"/>
      <name val="Montserrat Regular"/>
    </font>
    <font>
      <b/>
      <sz val="11"/>
      <color rgb="FFFF0000"/>
      <name val="Montserrat Regular"/>
    </font>
    <font>
      <sz val="11"/>
      <color theme="0"/>
      <name val="Montserrat Regular"/>
    </font>
    <font>
      <b/>
      <sz val="14"/>
      <name val="Montserrat Regular"/>
    </font>
    <font>
      <b/>
      <sz val="14"/>
      <color theme="0"/>
      <name val="Montserrat Regular"/>
    </font>
    <font>
      <b/>
      <sz val="14"/>
      <color theme="1"/>
      <name val="Montserrat Regular"/>
    </font>
    <font>
      <sz val="14"/>
      <name val="Montserrat Regular"/>
    </font>
    <font>
      <sz val="14"/>
      <color theme="1"/>
      <name val="Montserrat Regular"/>
    </font>
    <font>
      <b/>
      <sz val="22"/>
      <color theme="0"/>
      <name val="Montserrat Regular"/>
    </font>
    <font>
      <b/>
      <u/>
      <sz val="11"/>
      <name val="Montserrat Regular"/>
    </font>
  </fonts>
  <fills count="16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C9213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CB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CCC6"/>
        <bgColor indexed="64"/>
      </patternFill>
    </fill>
    <fill>
      <patternFill patternType="solid">
        <fgColor rgb="FFC2D6EF"/>
        <bgColor indexed="64"/>
      </patternFill>
    </fill>
    <fill>
      <patternFill patternType="solid">
        <fgColor rgb="FFFFFF67"/>
        <bgColor indexed="64"/>
      </patternFill>
    </fill>
    <fill>
      <patternFill patternType="solid">
        <fgColor rgb="FF27303D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5" fillId="1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/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6" fillId="0" borderId="3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5" fillId="0" borderId="40" xfId="0" applyFont="1" applyFill="1" applyBorder="1" applyAlignment="1">
      <alignment wrapText="1"/>
    </xf>
    <xf numFmtId="0" fontId="7" fillId="0" borderId="41" xfId="0" applyFont="1" applyBorder="1" applyAlignment="1"/>
    <xf numFmtId="164" fontId="5" fillId="9" borderId="41" xfId="0" applyNumberFormat="1" applyFont="1" applyFill="1" applyBorder="1" applyAlignment="1">
      <alignment wrapText="1"/>
    </xf>
    <xf numFmtId="165" fontId="5" fillId="5" borderId="18" xfId="0" applyNumberFormat="1" applyFont="1" applyFill="1" applyBorder="1"/>
    <xf numFmtId="0" fontId="7" fillId="0" borderId="22" xfId="0" applyFont="1" applyBorder="1" applyAlignment="1"/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Border="1" applyAlignment="1"/>
    <xf numFmtId="1" fontId="10" fillId="6" borderId="9" xfId="0" applyNumberFormat="1" applyFont="1" applyFill="1" applyBorder="1" applyAlignment="1">
      <alignment wrapText="1"/>
    </xf>
    <xf numFmtId="164" fontId="10" fillId="6" borderId="9" xfId="0" applyNumberFormat="1" applyFont="1" applyFill="1" applyBorder="1" applyAlignment="1">
      <alignment wrapText="1"/>
    </xf>
    <xf numFmtId="165" fontId="7" fillId="5" borderId="7" xfId="0" applyNumberFormat="1" applyFont="1" applyFill="1" applyBorder="1"/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165" fontId="7" fillId="5" borderId="12" xfId="0" applyNumberFormat="1" applyFont="1" applyFill="1" applyBorder="1"/>
    <xf numFmtId="0" fontId="7" fillId="0" borderId="14" xfId="0" applyFont="1" applyBorder="1" applyAlignment="1"/>
    <xf numFmtId="1" fontId="10" fillId="6" borderId="29" xfId="0" applyNumberFormat="1" applyFont="1" applyFill="1" applyBorder="1" applyAlignment="1">
      <alignment wrapText="1"/>
    </xf>
    <xf numFmtId="164" fontId="10" fillId="6" borderId="29" xfId="0" applyNumberFormat="1" applyFont="1" applyFill="1" applyBorder="1" applyAlignment="1">
      <alignment wrapText="1"/>
    </xf>
    <xf numFmtId="0" fontId="7" fillId="0" borderId="32" xfId="0" applyFont="1" applyBorder="1" applyAlignment="1">
      <alignment horizontal="left" vertical="center" wrapText="1"/>
    </xf>
    <xf numFmtId="0" fontId="5" fillId="0" borderId="42" xfId="0" applyFont="1" applyFill="1" applyBorder="1" applyAlignment="1">
      <alignment wrapText="1"/>
    </xf>
    <xf numFmtId="0" fontId="5" fillId="0" borderId="33" xfId="0" applyFont="1" applyFill="1" applyBorder="1"/>
    <xf numFmtId="165" fontId="5" fillId="0" borderId="33" xfId="0" applyNumberFormat="1" applyFont="1" applyFill="1" applyBorder="1" applyAlignment="1">
      <alignment horizontal="right"/>
    </xf>
    <xf numFmtId="0" fontId="5" fillId="0" borderId="21" xfId="0" applyFont="1" applyFill="1" applyBorder="1" applyAlignment="1"/>
    <xf numFmtId="0" fontId="7" fillId="0" borderId="35" xfId="0" applyFont="1" applyBorder="1"/>
    <xf numFmtId="165" fontId="7" fillId="0" borderId="22" xfId="0" applyNumberFormat="1" applyFont="1" applyFill="1" applyBorder="1" applyAlignment="1">
      <alignment wrapText="1"/>
    </xf>
    <xf numFmtId="165" fontId="7" fillId="0" borderId="19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right"/>
    </xf>
    <xf numFmtId="164" fontId="11" fillId="6" borderId="1" xfId="0" applyNumberFormat="1" applyFont="1" applyFill="1" applyBorder="1" applyAlignment="1">
      <alignment horizontal="right" wrapText="1"/>
    </xf>
    <xf numFmtId="0" fontId="7" fillId="0" borderId="0" xfId="0" applyFont="1" applyBorder="1"/>
    <xf numFmtId="0" fontId="11" fillId="6" borderId="1" xfId="0" applyFont="1" applyFill="1" applyBorder="1" applyAlignment="1">
      <alignment horizontal="right" vertical="center"/>
    </xf>
    <xf numFmtId="164" fontId="11" fillId="6" borderId="13" xfId="0" applyNumberFormat="1" applyFont="1" applyFill="1" applyBorder="1" applyAlignment="1">
      <alignment horizontal="right" vertical="center" wrapText="1"/>
    </xf>
    <xf numFmtId="165" fontId="7" fillId="5" borderId="7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Fill="1" applyBorder="1"/>
    <xf numFmtId="164" fontId="7" fillId="6" borderId="1" xfId="0" applyNumberFormat="1" applyFont="1" applyFill="1" applyBorder="1" applyAlignment="1">
      <alignment wrapText="1"/>
    </xf>
    <xf numFmtId="1" fontId="7" fillId="6" borderId="9" xfId="3" applyNumberFormat="1" applyFont="1" applyFill="1" applyBorder="1" applyAlignment="1">
      <alignment wrapText="1"/>
    </xf>
    <xf numFmtId="164" fontId="7" fillId="6" borderId="9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" fontId="7" fillId="6" borderId="1" xfId="3" applyNumberFormat="1" applyFont="1" applyFill="1" applyBorder="1" applyAlignment="1"/>
    <xf numFmtId="0" fontId="7" fillId="6" borderId="1" xfId="0" applyFont="1" applyFill="1" applyBorder="1" applyAlignment="1"/>
    <xf numFmtId="0" fontId="7" fillId="0" borderId="1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/>
    <xf numFmtId="165" fontId="5" fillId="0" borderId="4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7" fillId="0" borderId="38" xfId="0" applyFont="1" applyFill="1" applyBorder="1"/>
    <xf numFmtId="0" fontId="5" fillId="0" borderId="38" xfId="0" applyFont="1" applyFill="1" applyBorder="1" applyAlignment="1">
      <alignment horizontal="right"/>
    </xf>
    <xf numFmtId="165" fontId="5" fillId="5" borderId="39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right"/>
    </xf>
    <xf numFmtId="0" fontId="7" fillId="0" borderId="28" xfId="0" applyFont="1" applyBorder="1"/>
    <xf numFmtId="0" fontId="7" fillId="0" borderId="4" xfId="0" applyFont="1" applyBorder="1" applyAlignment="1">
      <alignment horizontal="right"/>
    </xf>
    <xf numFmtId="0" fontId="7" fillId="0" borderId="32" xfId="0" applyFont="1" applyBorder="1"/>
    <xf numFmtId="0" fontId="7" fillId="0" borderId="33" xfId="0" applyFont="1" applyBorder="1" applyAlignment="1">
      <alignment horizontal="right"/>
    </xf>
    <xf numFmtId="164" fontId="7" fillId="5" borderId="18" xfId="0" applyNumberFormat="1" applyFont="1" applyFill="1" applyBorder="1"/>
    <xf numFmtId="0" fontId="7" fillId="0" borderId="30" xfId="0" applyFont="1" applyFill="1" applyBorder="1"/>
    <xf numFmtId="0" fontId="7" fillId="0" borderId="31" xfId="0" applyFont="1" applyFill="1" applyBorder="1" applyAlignment="1">
      <alignment horizontal="right"/>
    </xf>
    <xf numFmtId="164" fontId="7" fillId="5" borderId="17" xfId="3" applyNumberFormat="1" applyFont="1" applyFill="1" applyBorder="1" applyAlignment="1">
      <alignment horizontal="right" vertical="center"/>
    </xf>
    <xf numFmtId="164" fontId="7" fillId="5" borderId="19" xfId="3" applyNumberFormat="1" applyFont="1" applyFill="1" applyBorder="1" applyAlignment="1">
      <alignment horizontal="right" vertical="center"/>
    </xf>
    <xf numFmtId="0" fontId="12" fillId="0" borderId="28" xfId="0" applyFont="1" applyFill="1" applyBorder="1"/>
    <xf numFmtId="164" fontId="7" fillId="5" borderId="7" xfId="0" applyNumberFormat="1" applyFont="1" applyFill="1" applyBorder="1" applyAlignment="1">
      <alignment horizontal="right"/>
    </xf>
    <xf numFmtId="164" fontId="7" fillId="5" borderId="18" xfId="3" applyNumberFormat="1" applyFont="1" applyFill="1" applyBorder="1" applyAlignment="1">
      <alignment horizontal="right"/>
    </xf>
    <xf numFmtId="164" fontId="13" fillId="6" borderId="48" xfId="0" applyNumberFormat="1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 wrapText="1"/>
    </xf>
    <xf numFmtId="165" fontId="15" fillId="0" borderId="39" xfId="0" applyNumberFormat="1" applyFont="1" applyBorder="1"/>
    <xf numFmtId="0" fontId="5" fillId="0" borderId="21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1" fontId="7" fillId="6" borderId="1" xfId="3" applyNumberFormat="1" applyFont="1" applyFill="1" applyBorder="1"/>
    <xf numFmtId="165" fontId="15" fillId="0" borderId="36" xfId="3" applyNumberFormat="1" applyFont="1" applyFill="1" applyBorder="1"/>
    <xf numFmtId="165" fontId="15" fillId="5" borderId="7" xfId="0" applyNumberFormat="1" applyFont="1" applyFill="1" applyBorder="1" applyAlignment="1">
      <alignment wrapText="1"/>
    </xf>
    <xf numFmtId="0" fontId="17" fillId="0" borderId="28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167" fontId="15" fillId="0" borderId="7" xfId="0" applyNumberFormat="1" applyFont="1" applyBorder="1" applyAlignment="1">
      <alignment horizontal="right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vertical="center"/>
    </xf>
    <xf numFmtId="0" fontId="7" fillId="11" borderId="4" xfId="0" applyFont="1" applyFill="1" applyBorder="1"/>
    <xf numFmtId="0" fontId="7" fillId="12" borderId="27" xfId="0" applyFont="1" applyFill="1" applyBorder="1" applyAlignment="1">
      <alignment vertical="center"/>
    </xf>
    <xf numFmtId="0" fontId="7" fillId="12" borderId="27" xfId="0" applyFont="1" applyFill="1" applyBorder="1"/>
    <xf numFmtId="0" fontId="7" fillId="13" borderId="27" xfId="0" applyFont="1" applyFill="1" applyBorder="1" applyAlignment="1">
      <alignment vertical="center"/>
    </xf>
    <xf numFmtId="0" fontId="7" fillId="13" borderId="27" xfId="0" applyFont="1" applyFill="1" applyBorder="1"/>
    <xf numFmtId="0" fontId="7" fillId="8" borderId="27" xfId="0" applyFont="1" applyFill="1" applyBorder="1" applyAlignment="1">
      <alignment vertical="center"/>
    </xf>
    <xf numFmtId="0" fontId="7" fillId="8" borderId="27" xfId="0" applyFont="1" applyFill="1" applyBorder="1"/>
    <xf numFmtId="0" fontId="7" fillId="10" borderId="4" xfId="0" applyFont="1" applyFill="1" applyBorder="1"/>
    <xf numFmtId="0" fontId="7" fillId="11" borderId="2" xfId="0" applyFont="1" applyFill="1" applyBorder="1"/>
    <xf numFmtId="0" fontId="7" fillId="12" borderId="13" xfId="0" applyFont="1" applyFill="1" applyBorder="1"/>
    <xf numFmtId="0" fontId="7" fillId="13" borderId="13" xfId="0" applyFont="1" applyFill="1" applyBorder="1"/>
    <xf numFmtId="0" fontId="7" fillId="8" borderId="13" xfId="0" applyFont="1" applyFill="1" applyBorder="1"/>
    <xf numFmtId="0" fontId="7" fillId="10" borderId="2" xfId="0" applyFont="1" applyFill="1" applyBorder="1"/>
    <xf numFmtId="0" fontId="7" fillId="2" borderId="11" xfId="0" applyFont="1" applyFill="1" applyBorder="1"/>
    <xf numFmtId="0" fontId="7" fillId="12" borderId="5" xfId="0" applyFont="1" applyFill="1" applyBorder="1" applyAlignment="1">
      <alignment vertical="center"/>
    </xf>
    <xf numFmtId="0" fontId="7" fillId="13" borderId="5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45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47" xfId="0" applyFont="1" applyFill="1" applyBorder="1"/>
    <xf numFmtId="0" fontId="8" fillId="4" borderId="9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right" vertical="center"/>
    </xf>
    <xf numFmtId="164" fontId="7" fillId="6" borderId="3" xfId="3" applyNumberFormat="1" applyFont="1" applyFill="1" applyBorder="1"/>
    <xf numFmtId="165" fontId="8" fillId="12" borderId="10" xfId="0" applyNumberFormat="1" applyFont="1" applyFill="1" applyBorder="1" applyAlignment="1">
      <alignment horizontal="right" vertical="center"/>
    </xf>
    <xf numFmtId="166" fontId="10" fillId="7" borderId="1" xfId="0" applyNumberFormat="1" applyFont="1" applyFill="1" applyBorder="1" applyAlignment="1">
      <alignment horizontal="right" vertical="center"/>
    </xf>
    <xf numFmtId="2" fontId="7" fillId="6" borderId="3" xfId="0" applyNumberFormat="1" applyFont="1" applyFill="1" applyBorder="1"/>
    <xf numFmtId="166" fontId="10" fillId="12" borderId="7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164" fontId="10" fillId="12" borderId="7" xfId="0" applyNumberFormat="1" applyFont="1" applyFill="1" applyBorder="1" applyAlignment="1">
      <alignment horizontal="right" vertical="center"/>
    </xf>
    <xf numFmtId="9" fontId="7" fillId="11" borderId="3" xfId="1" applyFont="1" applyFill="1" applyBorder="1"/>
    <xf numFmtId="165" fontId="10" fillId="12" borderId="7" xfId="0" applyNumberFormat="1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right" vertical="center"/>
    </xf>
    <xf numFmtId="0" fontId="10" fillId="7" borderId="24" xfId="0" applyFont="1" applyFill="1" applyBorder="1" applyAlignment="1">
      <alignment horizontal="right" vertical="center"/>
    </xf>
    <xf numFmtId="164" fontId="10" fillId="12" borderId="18" xfId="0" applyNumberFormat="1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right" vertical="center"/>
    </xf>
    <xf numFmtId="10" fontId="10" fillId="11" borderId="1" xfId="1" applyNumberFormat="1" applyFont="1" applyFill="1" applyBorder="1" applyAlignment="1">
      <alignment horizontal="right" vertical="center"/>
    </xf>
    <xf numFmtId="165" fontId="10" fillId="11" borderId="1" xfId="0" applyNumberFormat="1" applyFont="1" applyFill="1" applyBorder="1" applyAlignment="1">
      <alignment horizontal="right" vertical="center"/>
    </xf>
    <xf numFmtId="10" fontId="10" fillId="11" borderId="14" xfId="1" applyNumberFormat="1" applyFont="1" applyFill="1" applyBorder="1" applyAlignment="1">
      <alignment horizontal="right" vertical="center"/>
    </xf>
    <xf numFmtId="165" fontId="10" fillId="12" borderId="12" xfId="0" applyNumberFormat="1" applyFont="1" applyFill="1" applyBorder="1" applyAlignment="1">
      <alignment horizontal="right" vertical="center"/>
    </xf>
    <xf numFmtId="43" fontId="10" fillId="11" borderId="22" xfId="2" applyFont="1" applyFill="1" applyBorder="1" applyAlignment="1">
      <alignment horizontal="right" vertical="center"/>
    </xf>
    <xf numFmtId="43" fontId="10" fillId="12" borderId="19" xfId="2" applyFont="1" applyFill="1" applyBorder="1" applyAlignment="1">
      <alignment horizontal="right" vertical="center"/>
    </xf>
    <xf numFmtId="0" fontId="10" fillId="7" borderId="24" xfId="0" applyFont="1" applyFill="1" applyBorder="1"/>
    <xf numFmtId="165" fontId="10" fillId="12" borderId="18" xfId="0" applyNumberFormat="1" applyFont="1" applyFill="1" applyBorder="1" applyAlignment="1">
      <alignment horizontal="right" vertical="center"/>
    </xf>
    <xf numFmtId="0" fontId="10" fillId="7" borderId="13" xfId="0" applyFont="1" applyFill="1" applyBorder="1"/>
    <xf numFmtId="167" fontId="10" fillId="12" borderId="7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5" fillId="11" borderId="3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/>
    <xf numFmtId="0" fontId="13" fillId="7" borderId="2" xfId="0" applyFont="1" applyFill="1" applyBorder="1"/>
    <xf numFmtId="164" fontId="13" fillId="9" borderId="7" xfId="0" applyNumberFormat="1" applyFont="1" applyFill="1" applyBorder="1" applyAlignment="1">
      <alignment horizontal="right" vertical="center"/>
    </xf>
    <xf numFmtId="0" fontId="16" fillId="7" borderId="20" xfId="0" applyFont="1" applyFill="1" applyBorder="1"/>
    <xf numFmtId="165" fontId="13" fillId="12" borderId="18" xfId="0" applyNumberFormat="1" applyFont="1" applyFill="1" applyBorder="1" applyAlignment="1">
      <alignment horizontal="right" vertical="center"/>
    </xf>
    <xf numFmtId="10" fontId="7" fillId="11" borderId="7" xfId="1" applyNumberFormat="1" applyFont="1" applyFill="1" applyBorder="1" applyAlignment="1">
      <alignment wrapText="1"/>
    </xf>
    <xf numFmtId="2" fontId="8" fillId="11" borderId="41" xfId="0" applyNumberFormat="1" applyFont="1" applyFill="1" applyBorder="1" applyAlignment="1">
      <alignment wrapText="1"/>
    </xf>
    <xf numFmtId="0" fontId="16" fillId="7" borderId="25" xfId="0" applyFont="1" applyFill="1" applyBorder="1"/>
    <xf numFmtId="165" fontId="16" fillId="12" borderId="26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right"/>
    </xf>
    <xf numFmtId="0" fontId="10" fillId="7" borderId="6" xfId="0" applyFont="1" applyFill="1" applyBorder="1" applyAlignment="1">
      <alignment horizontal="right" vertical="center"/>
    </xf>
    <xf numFmtId="0" fontId="10" fillId="7" borderId="6" xfId="0" applyFont="1" applyFill="1" applyBorder="1" applyAlignment="1">
      <alignment horizontal="right"/>
    </xf>
    <xf numFmtId="0" fontId="10" fillId="7" borderId="23" xfId="0" applyFont="1" applyFill="1" applyBorder="1" applyAlignment="1">
      <alignment horizontal="right"/>
    </xf>
    <xf numFmtId="164" fontId="7" fillId="12" borderId="3" xfId="3" applyNumberFormat="1" applyFont="1" applyFill="1" applyBorder="1"/>
    <xf numFmtId="9" fontId="10" fillId="12" borderId="1" xfId="1" applyFont="1" applyFill="1" applyBorder="1" applyAlignment="1">
      <alignment horizontal="right"/>
    </xf>
    <xf numFmtId="165" fontId="10" fillId="12" borderId="1" xfId="0" applyNumberFormat="1" applyFont="1" applyFill="1" applyBorder="1" applyAlignment="1">
      <alignment horizontal="right"/>
    </xf>
    <xf numFmtId="164" fontId="10" fillId="12" borderId="24" xfId="1" applyNumberFormat="1" applyFont="1" applyFill="1" applyBorder="1" applyAlignment="1">
      <alignment horizontal="right"/>
    </xf>
    <xf numFmtId="165" fontId="10" fillId="12" borderId="1" xfId="1" applyNumberFormat="1" applyFont="1" applyFill="1" applyBorder="1" applyAlignment="1">
      <alignment horizontal="right"/>
    </xf>
    <xf numFmtId="165" fontId="10" fillId="12" borderId="1" xfId="0" applyNumberFormat="1" applyFont="1" applyFill="1" applyBorder="1" applyAlignment="1">
      <alignment horizontal="right" vertical="center"/>
    </xf>
    <xf numFmtId="165" fontId="10" fillId="12" borderId="14" xfId="0" applyNumberFormat="1" applyFont="1" applyFill="1" applyBorder="1" applyAlignment="1">
      <alignment horizontal="right" vertical="center"/>
    </xf>
    <xf numFmtId="43" fontId="10" fillId="12" borderId="22" xfId="2" applyFont="1" applyFill="1" applyBorder="1" applyAlignment="1">
      <alignment horizontal="right" vertical="center"/>
    </xf>
    <xf numFmtId="165" fontId="10" fillId="12" borderId="24" xfId="0" applyNumberFormat="1" applyFont="1" applyFill="1" applyBorder="1" applyAlignment="1">
      <alignment horizontal="right" vertical="center"/>
    </xf>
    <xf numFmtId="165" fontId="16" fillId="12" borderId="41" xfId="0" applyNumberFormat="1" applyFont="1" applyFill="1" applyBorder="1" applyAlignment="1">
      <alignment horizontal="right" vertical="center"/>
    </xf>
    <xf numFmtId="164" fontId="10" fillId="12" borderId="1" xfId="0" applyNumberFormat="1" applyFont="1" applyFill="1" applyBorder="1" applyAlignment="1">
      <alignment horizontal="right" vertical="center"/>
    </xf>
    <xf numFmtId="167" fontId="10" fillId="12" borderId="1" xfId="1" applyNumberFormat="1" applyFont="1" applyFill="1" applyBorder="1" applyAlignment="1">
      <alignment horizontal="right" vertical="center"/>
    </xf>
    <xf numFmtId="164" fontId="13" fillId="12" borderId="1" xfId="0" applyNumberFormat="1" applyFont="1" applyFill="1" applyBorder="1" applyAlignment="1">
      <alignment horizontal="right" vertical="center"/>
    </xf>
    <xf numFmtId="165" fontId="13" fillId="12" borderId="24" xfId="0" applyNumberFormat="1" applyFont="1" applyFill="1" applyBorder="1" applyAlignment="1">
      <alignment horizontal="right" vertical="center"/>
    </xf>
    <xf numFmtId="0" fontId="10" fillId="7" borderId="52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right" vertical="center"/>
    </xf>
    <xf numFmtId="0" fontId="10" fillId="7" borderId="21" xfId="0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right" vertical="center"/>
    </xf>
    <xf numFmtId="0" fontId="13" fillId="7" borderId="40" xfId="0" applyFont="1" applyFill="1" applyBorder="1" applyAlignment="1">
      <alignment horizontal="left"/>
    </xf>
    <xf numFmtId="0" fontId="13" fillId="7" borderId="6" xfId="0" applyFont="1" applyFill="1" applyBorder="1" applyAlignment="1">
      <alignment horizontal="right"/>
    </xf>
    <xf numFmtId="0" fontId="13" fillId="7" borderId="23" xfId="0" applyFont="1" applyFill="1" applyBorder="1" applyAlignment="1">
      <alignment horizontal="right"/>
    </xf>
    <xf numFmtId="164" fontId="10" fillId="4" borderId="7" xfId="0" applyNumberFormat="1" applyFont="1" applyFill="1" applyBorder="1" applyAlignment="1">
      <alignment horizontal="right" vertical="center"/>
    </xf>
    <xf numFmtId="0" fontId="5" fillId="11" borderId="28" xfId="0" applyFont="1" applyFill="1" applyBorder="1" applyAlignment="1">
      <alignment vertical="center"/>
    </xf>
    <xf numFmtId="0" fontId="7" fillId="11" borderId="56" xfId="0" applyFont="1" applyFill="1" applyBorder="1"/>
    <xf numFmtId="0" fontId="7" fillId="12" borderId="55" xfId="0" applyFont="1" applyFill="1" applyBorder="1" applyAlignment="1">
      <alignment vertical="center"/>
    </xf>
    <xf numFmtId="0" fontId="7" fillId="12" borderId="57" xfId="0" applyFont="1" applyFill="1" applyBorder="1"/>
    <xf numFmtId="0" fontId="7" fillId="13" borderId="55" xfId="0" applyFont="1" applyFill="1" applyBorder="1" applyAlignment="1">
      <alignment vertical="center"/>
    </xf>
    <xf numFmtId="0" fontId="7" fillId="13" borderId="57" xfId="0" applyFont="1" applyFill="1" applyBorder="1"/>
    <xf numFmtId="0" fontId="7" fillId="4" borderId="48" xfId="0" applyFont="1" applyFill="1" applyBorder="1"/>
    <xf numFmtId="0" fontId="0" fillId="4" borderId="58" xfId="0" applyFill="1" applyBorder="1"/>
    <xf numFmtId="0" fontId="0" fillId="4" borderId="45" xfId="0" applyFill="1" applyBorder="1"/>
    <xf numFmtId="0" fontId="2" fillId="14" borderId="0" xfId="0" applyFont="1" applyFill="1"/>
    <xf numFmtId="0" fontId="2" fillId="14" borderId="0" xfId="0" applyFont="1" applyFill="1" applyAlignment="1">
      <alignment wrapText="1"/>
    </xf>
    <xf numFmtId="0" fontId="2" fillId="14" borderId="0" xfId="0" applyFont="1" applyFill="1" applyAlignment="1"/>
    <xf numFmtId="0" fontId="2" fillId="14" borderId="0" xfId="0" applyFont="1" applyFill="1" applyBorder="1"/>
    <xf numFmtId="0" fontId="7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7" fillId="14" borderId="0" xfId="0" applyFont="1" applyFill="1"/>
    <xf numFmtId="0" fontId="5" fillId="14" borderId="0" xfId="0" applyFont="1" applyFill="1" applyBorder="1" applyAlignment="1">
      <alignment horizontal="right" wrapText="1"/>
    </xf>
    <xf numFmtId="0" fontId="5" fillId="14" borderId="0" xfId="0" applyFont="1" applyFill="1" applyBorder="1" applyAlignment="1">
      <alignment horizontal="right"/>
    </xf>
    <xf numFmtId="0" fontId="4" fillId="14" borderId="0" xfId="0" applyFont="1" applyFill="1" applyBorder="1" applyAlignment="1">
      <alignment horizontal="center" vertical="center" wrapText="1"/>
    </xf>
    <xf numFmtId="0" fontId="3" fillId="14" borderId="0" xfId="0" applyFont="1" applyFill="1" applyBorder="1"/>
    <xf numFmtId="2" fontId="2" fillId="14" borderId="0" xfId="0" applyNumberFormat="1" applyFont="1" applyFill="1" applyBorder="1" applyAlignment="1">
      <alignment horizontal="right"/>
    </xf>
    <xf numFmtId="0" fontId="3" fillId="14" borderId="0" xfId="0" applyFont="1" applyFill="1" applyAlignment="1">
      <alignment wrapText="1"/>
    </xf>
    <xf numFmtId="2" fontId="3" fillId="14" borderId="0" xfId="0" applyNumberFormat="1" applyFont="1" applyFill="1" applyAlignment="1">
      <alignment wrapText="1"/>
    </xf>
    <xf numFmtId="0" fontId="3" fillId="14" borderId="0" xfId="0" applyFont="1" applyFill="1"/>
    <xf numFmtId="2" fontId="2" fillId="14" borderId="0" xfId="0" applyNumberFormat="1" applyFont="1" applyFill="1" applyAlignment="1">
      <alignment wrapText="1"/>
    </xf>
    <xf numFmtId="0" fontId="2" fillId="14" borderId="0" xfId="0" applyFont="1" applyFill="1" applyAlignment="1">
      <alignment horizontal="center"/>
    </xf>
    <xf numFmtId="2" fontId="2" fillId="14" borderId="0" xfId="0" applyNumberFormat="1" applyFont="1" applyFill="1" applyAlignment="1">
      <alignment horizontal="right"/>
    </xf>
    <xf numFmtId="0" fontId="7" fillId="14" borderId="0" xfId="0" applyFont="1" applyFill="1" applyBorder="1"/>
    <xf numFmtId="0" fontId="5" fillId="14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wrapText="1"/>
    </xf>
    <xf numFmtId="0" fontId="5" fillId="14" borderId="0" xfId="0" applyFont="1" applyFill="1" applyAlignment="1">
      <alignment horizontal="right"/>
    </xf>
    <xf numFmtId="165" fontId="7" fillId="14" borderId="0" xfId="0" applyNumberFormat="1" applyFont="1" applyFill="1" applyAlignment="1">
      <alignment wrapText="1"/>
    </xf>
    <xf numFmtId="0" fontId="7" fillId="14" borderId="51" xfId="0" applyFont="1" applyFill="1" applyBorder="1"/>
    <xf numFmtId="0" fontId="2" fillId="13" borderId="0" xfId="0" applyFont="1" applyFill="1"/>
    <xf numFmtId="0" fontId="7" fillId="15" borderId="0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left" vertical="center"/>
    </xf>
    <xf numFmtId="0" fontId="16" fillId="14" borderId="0" xfId="0" applyFont="1" applyFill="1" applyBorder="1"/>
    <xf numFmtId="165" fontId="13" fillId="14" borderId="0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7" fillId="14" borderId="0" xfId="0" applyFont="1" applyFill="1" applyBorder="1" applyAlignment="1">
      <alignment horizontal="center"/>
    </xf>
    <xf numFmtId="0" fontId="7" fillId="10" borderId="4" xfId="0" applyFont="1" applyFill="1" applyBorder="1" applyAlignment="1">
      <alignment vertical="center" wrapText="1"/>
    </xf>
    <xf numFmtId="0" fontId="14" fillId="14" borderId="50" xfId="0" applyFont="1" applyFill="1" applyBorder="1" applyAlignment="1">
      <alignment vertical="center" wrapText="1"/>
    </xf>
    <xf numFmtId="0" fontId="14" fillId="14" borderId="51" xfId="0" applyFont="1" applyFill="1" applyBorder="1" applyAlignment="1">
      <alignment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right"/>
    </xf>
    <xf numFmtId="0" fontId="14" fillId="3" borderId="38" xfId="0" applyFont="1" applyFill="1" applyBorder="1" applyAlignment="1">
      <alignment horizontal="right"/>
    </xf>
    <xf numFmtId="0" fontId="14" fillId="3" borderId="34" xfId="0" applyFont="1" applyFill="1" applyBorder="1" applyAlignment="1">
      <alignment horizontal="right"/>
    </xf>
    <xf numFmtId="0" fontId="14" fillId="3" borderId="35" xfId="0" applyFont="1" applyFill="1" applyBorder="1" applyAlignment="1">
      <alignment horizontal="right"/>
    </xf>
    <xf numFmtId="0" fontId="18" fillId="14" borderId="0" xfId="0" applyFont="1" applyFill="1" applyBorder="1" applyAlignment="1">
      <alignment horizontal="left" vertical="center"/>
    </xf>
    <xf numFmtId="0" fontId="18" fillId="14" borderId="58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horizontal="left"/>
    </xf>
    <xf numFmtId="0" fontId="14" fillId="3" borderId="31" xfId="0" applyFont="1" applyFill="1" applyBorder="1" applyAlignment="1">
      <alignment horizontal="left"/>
    </xf>
    <xf numFmtId="0" fontId="14" fillId="3" borderId="5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27303D"/>
      <color rgb="FFFFFF67"/>
      <color rgb="FFC9213C"/>
      <color rgb="FFC2D6EF"/>
      <color rgb="FF44546A"/>
      <color rgb="FFFECCC6"/>
      <color rgb="FF99CCFF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172720</xdr:colOff>
      <xdr:row>3</xdr:row>
      <xdr:rowOff>182881</xdr:rowOff>
    </xdr:from>
    <xdr:to>
      <xdr:col>6</xdr:col>
      <xdr:colOff>893418</xdr:colOff>
      <xdr:row>5</xdr:row>
      <xdr:rowOff>60961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4EC0AA-6339-9131-E1B1-6A02D7FC9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8800" y="802641"/>
          <a:ext cx="1594458" cy="345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1</xdr:row>
      <xdr:rowOff>304801</xdr:rowOff>
    </xdr:from>
    <xdr:to>
      <xdr:col>11</xdr:col>
      <xdr:colOff>787400</xdr:colOff>
      <xdr:row>2</xdr:row>
      <xdr:rowOff>184541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219C8B-EA1E-C48C-8349-25034562B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4800" y="495301"/>
          <a:ext cx="2082800" cy="451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60"/>
  <sheetViews>
    <sheetView showGridLines="0" tabSelected="1" zoomScale="125" zoomScaleNormal="125" workbookViewId="0">
      <selection activeCell="K9" sqref="K9"/>
    </sheetView>
  </sheetViews>
  <sheetFormatPr baseColWidth="10" defaultColWidth="8.83203125" defaultRowHeight="14"/>
  <cols>
    <col min="1" max="1" width="2.5" style="1" customWidth="1"/>
    <col min="2" max="2" width="5.5" style="2" customWidth="1"/>
    <col min="3" max="3" width="28.5" style="2" customWidth="1"/>
    <col min="4" max="4" width="22.6640625" style="2" customWidth="1"/>
    <col min="5" max="5" width="12.5" style="2" customWidth="1"/>
    <col min="6" max="6" width="11.5" style="2" customWidth="1"/>
    <col min="7" max="7" width="12" style="2" customWidth="1"/>
    <col min="8" max="8" width="5.33203125" style="2" customWidth="1"/>
    <col min="9" max="9" width="2.6640625" style="2" customWidth="1"/>
    <col min="10" max="10" width="6.1640625" style="1" customWidth="1"/>
    <col min="11" max="16" width="8.83203125" style="1"/>
    <col min="17" max="17" width="1" style="1" customWidth="1"/>
    <col min="18" max="16384" width="8.83203125" style="1"/>
  </cols>
  <sheetData>
    <row r="1" spans="2:17">
      <c r="C1" s="5"/>
    </row>
    <row r="2" spans="2:17" ht="15" thickBot="1">
      <c r="B2" s="200"/>
      <c r="C2" s="201"/>
      <c r="D2" s="202"/>
      <c r="E2" s="200"/>
      <c r="F2" s="200"/>
      <c r="G2" s="200"/>
      <c r="H2" s="200"/>
    </row>
    <row r="3" spans="2:17" ht="19">
      <c r="B3" s="200"/>
      <c r="C3" s="15" t="s">
        <v>38</v>
      </c>
      <c r="D3" s="16" t="s">
        <v>47</v>
      </c>
      <c r="E3" s="17" t="s">
        <v>25</v>
      </c>
      <c r="F3" s="207"/>
      <c r="G3" s="207"/>
      <c r="H3" s="200"/>
      <c r="J3" s="234" t="s">
        <v>78</v>
      </c>
      <c r="K3" s="235"/>
      <c r="L3" s="235"/>
      <c r="M3" s="235"/>
      <c r="N3" s="224"/>
      <c r="O3" s="224"/>
      <c r="P3" s="224"/>
      <c r="Q3" s="115"/>
    </row>
    <row r="4" spans="2:17" ht="21" thickBot="1">
      <c r="B4" s="200"/>
      <c r="C4" s="84">
        <v>150</v>
      </c>
      <c r="D4" s="85">
        <v>15</v>
      </c>
      <c r="E4" s="86" t="s">
        <v>68</v>
      </c>
      <c r="F4" s="207"/>
      <c r="G4" s="207"/>
      <c r="H4" s="206"/>
      <c r="I4" s="3"/>
      <c r="J4" s="154" t="s">
        <v>95</v>
      </c>
      <c r="K4" s="101"/>
      <c r="L4" s="102"/>
      <c r="M4" s="102"/>
      <c r="N4" s="102"/>
      <c r="O4" s="102"/>
      <c r="P4" s="102"/>
      <c r="Q4" s="110"/>
    </row>
    <row r="5" spans="2:17" ht="16" thickBot="1">
      <c r="B5" s="200"/>
      <c r="C5" s="236"/>
      <c r="D5" s="236"/>
      <c r="E5" s="204"/>
      <c r="F5" s="205"/>
      <c r="G5" s="205"/>
      <c r="H5" s="206"/>
      <c r="I5" s="3"/>
      <c r="J5" s="116" t="s">
        <v>36</v>
      </c>
      <c r="K5" s="103"/>
      <c r="L5" s="104"/>
      <c r="M5" s="104"/>
      <c r="N5" s="104"/>
      <c r="O5" s="104"/>
      <c r="P5" s="104"/>
      <c r="Q5" s="111"/>
    </row>
    <row r="6" spans="2:17" ht="15" customHeight="1">
      <c r="B6" s="200"/>
      <c r="C6" s="18" t="s">
        <v>39</v>
      </c>
      <c r="D6" s="19" t="s">
        <v>40</v>
      </c>
      <c r="E6" s="20" t="s">
        <v>26</v>
      </c>
      <c r="F6" s="205"/>
      <c r="G6" s="205"/>
      <c r="H6" s="206"/>
      <c r="I6" s="3"/>
      <c r="J6" s="117" t="s">
        <v>96</v>
      </c>
      <c r="K6" s="105"/>
      <c r="L6" s="106"/>
      <c r="M6" s="106"/>
      <c r="N6" s="106"/>
      <c r="O6" s="106"/>
      <c r="P6" s="106"/>
      <c r="Q6" s="112"/>
    </row>
    <row r="7" spans="2:17" ht="20" thickBot="1">
      <c r="B7" s="200"/>
      <c r="C7" s="119">
        <f>D7+E7</f>
        <v>23</v>
      </c>
      <c r="D7" s="120">
        <v>20</v>
      </c>
      <c r="E7" s="121">
        <v>3</v>
      </c>
      <c r="F7" s="205"/>
      <c r="G7" s="205"/>
      <c r="H7" s="206"/>
      <c r="I7" s="3"/>
      <c r="J7" s="118" t="s">
        <v>83</v>
      </c>
      <c r="K7" s="107"/>
      <c r="L7" s="108"/>
      <c r="M7" s="108"/>
      <c r="N7" s="108"/>
      <c r="O7" s="108"/>
      <c r="P7" s="108"/>
      <c r="Q7" s="113"/>
    </row>
    <row r="8" spans="2:17" ht="20" customHeight="1" thickBot="1">
      <c r="B8" s="200"/>
      <c r="C8" s="208"/>
      <c r="D8" s="209"/>
      <c r="E8" s="205"/>
      <c r="F8" s="205"/>
      <c r="G8" s="205"/>
      <c r="H8" s="206"/>
      <c r="I8" s="3"/>
      <c r="J8" s="8" t="s">
        <v>37</v>
      </c>
      <c r="K8" s="233" t="s">
        <v>48</v>
      </c>
      <c r="L8" s="233"/>
      <c r="M8" s="233"/>
      <c r="N8" s="233"/>
      <c r="O8" s="109"/>
      <c r="P8" s="109"/>
      <c r="Q8" s="114"/>
    </row>
    <row r="9" spans="2:17" ht="21" thickBot="1">
      <c r="B9" s="200"/>
      <c r="C9" s="97" t="s">
        <v>30</v>
      </c>
      <c r="D9" s="98" t="s">
        <v>0</v>
      </c>
      <c r="E9" s="99" t="s">
        <v>1</v>
      </c>
      <c r="F9" s="99" t="s">
        <v>5</v>
      </c>
      <c r="G9" s="100" t="s">
        <v>3</v>
      </c>
      <c r="H9" s="210"/>
      <c r="I9" s="4"/>
    </row>
    <row r="10" spans="2:17" ht="17" thickBot="1">
      <c r="B10" s="200"/>
      <c r="C10" s="21" t="s">
        <v>29</v>
      </c>
      <c r="D10" s="22"/>
      <c r="E10" s="162">
        <v>10</v>
      </c>
      <c r="F10" s="23">
        <f>'TECH Cost--Burdened'!L30</f>
        <v>53.518209221802167</v>
      </c>
      <c r="G10" s="24">
        <f>F10*E10</f>
        <v>535.18209221802169</v>
      </c>
      <c r="H10" s="210"/>
      <c r="I10" s="4"/>
    </row>
    <row r="11" spans="2:17" ht="16" thickBot="1">
      <c r="B11" s="200"/>
      <c r="C11" s="207"/>
      <c r="D11" s="207"/>
      <c r="E11" s="207"/>
      <c r="F11" s="207"/>
      <c r="G11" s="207"/>
      <c r="H11" s="210"/>
      <c r="I11" s="4"/>
    </row>
    <row r="12" spans="2:17" ht="16">
      <c r="B12" s="200"/>
      <c r="C12" s="88" t="s">
        <v>50</v>
      </c>
      <c r="D12" s="25"/>
      <c r="E12" s="25"/>
      <c r="F12" s="25"/>
      <c r="G12" s="25"/>
      <c r="H12" s="210"/>
      <c r="I12" s="4"/>
    </row>
    <row r="13" spans="2:17" ht="19" customHeight="1">
      <c r="B13" s="200"/>
      <c r="C13" s="26" t="s">
        <v>46</v>
      </c>
      <c r="D13" s="27"/>
      <c r="E13" s="28">
        <v>200</v>
      </c>
      <c r="F13" s="29">
        <v>0.2</v>
      </c>
      <c r="G13" s="30">
        <f t="shared" ref="G13" si="0">E13*F13</f>
        <v>40</v>
      </c>
      <c r="H13" s="211"/>
      <c r="I13" s="5"/>
    </row>
    <row r="14" spans="2:17" ht="19" customHeight="1">
      <c r="B14" s="200"/>
      <c r="C14" s="26" t="s">
        <v>6</v>
      </c>
      <c r="D14" s="27"/>
      <c r="E14" s="28"/>
      <c r="F14" s="29"/>
      <c r="G14" s="30">
        <f>E14*F14</f>
        <v>0</v>
      </c>
      <c r="H14" s="211"/>
      <c r="I14" s="5"/>
    </row>
    <row r="15" spans="2:17" ht="16">
      <c r="B15" s="200"/>
      <c r="C15" s="26" t="s">
        <v>9</v>
      </c>
      <c r="D15" s="27" t="s">
        <v>10</v>
      </c>
      <c r="E15" s="28">
        <v>15</v>
      </c>
      <c r="F15" s="29">
        <v>4.5</v>
      </c>
      <c r="G15" s="30">
        <f t="shared" ref="G15:G18" si="1">E15*F15</f>
        <v>67.5</v>
      </c>
      <c r="H15" s="211"/>
      <c r="I15" s="5"/>
    </row>
    <row r="16" spans="2:17" ht="16">
      <c r="B16" s="200"/>
      <c r="C16" s="26" t="s">
        <v>9</v>
      </c>
      <c r="D16" s="27" t="s">
        <v>11</v>
      </c>
      <c r="E16" s="28"/>
      <c r="F16" s="29"/>
      <c r="G16" s="30">
        <f t="shared" si="1"/>
        <v>0</v>
      </c>
      <c r="H16" s="211"/>
      <c r="I16" s="5"/>
    </row>
    <row r="17" spans="2:14" ht="16">
      <c r="B17" s="200"/>
      <c r="C17" s="26" t="s">
        <v>9</v>
      </c>
      <c r="D17" s="27" t="s">
        <v>79</v>
      </c>
      <c r="E17" s="28"/>
      <c r="F17" s="29"/>
      <c r="G17" s="30">
        <f t="shared" si="1"/>
        <v>0</v>
      </c>
      <c r="H17" s="211"/>
      <c r="I17" s="5"/>
    </row>
    <row r="18" spans="2:14" ht="16">
      <c r="B18" s="200"/>
      <c r="C18" s="26" t="s">
        <v>9</v>
      </c>
      <c r="D18" s="27" t="s">
        <v>8</v>
      </c>
      <c r="E18" s="28"/>
      <c r="F18" s="29"/>
      <c r="G18" s="30">
        <f t="shared" si="1"/>
        <v>0</v>
      </c>
      <c r="H18" s="211"/>
      <c r="I18" s="5"/>
    </row>
    <row r="19" spans="2:14" ht="16">
      <c r="B19" s="200"/>
      <c r="C19" s="26" t="s">
        <v>9</v>
      </c>
      <c r="D19" s="27" t="s">
        <v>13</v>
      </c>
      <c r="E19" s="28"/>
      <c r="F19" s="29"/>
      <c r="G19" s="30">
        <f>E19*F19</f>
        <v>0</v>
      </c>
      <c r="H19" s="211"/>
      <c r="I19" s="5"/>
    </row>
    <row r="20" spans="2:14" ht="16">
      <c r="B20" s="200"/>
      <c r="C20" s="26" t="s">
        <v>12</v>
      </c>
      <c r="D20" s="27"/>
      <c r="E20" s="28"/>
      <c r="F20" s="29"/>
      <c r="G20" s="30">
        <f>E20*F20</f>
        <v>0</v>
      </c>
      <c r="H20" s="211"/>
      <c r="I20" s="5"/>
    </row>
    <row r="21" spans="2:14" ht="16">
      <c r="B21" s="200"/>
      <c r="C21" s="26" t="s">
        <v>49</v>
      </c>
      <c r="D21" s="31"/>
      <c r="E21" s="28"/>
      <c r="F21" s="29"/>
      <c r="G21" s="30">
        <f t="shared" ref="G21:G22" si="2">E21*F21</f>
        <v>0</v>
      </c>
      <c r="H21" s="203"/>
      <c r="I21" s="6"/>
    </row>
    <row r="22" spans="2:14" ht="16">
      <c r="B22" s="200"/>
      <c r="C22" s="26" t="s">
        <v>7</v>
      </c>
      <c r="D22" s="27"/>
      <c r="E22" s="28">
        <f>C7</f>
        <v>23</v>
      </c>
      <c r="F22" s="29">
        <v>4</v>
      </c>
      <c r="G22" s="30">
        <f t="shared" si="2"/>
        <v>92</v>
      </c>
      <c r="H22" s="203"/>
      <c r="I22" s="6"/>
    </row>
    <row r="23" spans="2:14" ht="16">
      <c r="B23" s="200"/>
      <c r="C23" s="32" t="s">
        <v>4</v>
      </c>
      <c r="D23" s="27"/>
      <c r="E23" s="28"/>
      <c r="F23" s="29"/>
      <c r="G23" s="30">
        <f>E23*F23</f>
        <v>0</v>
      </c>
      <c r="H23" s="203"/>
      <c r="I23" s="6"/>
    </row>
    <row r="24" spans="2:14" ht="16">
      <c r="B24" s="200"/>
      <c r="C24" s="33" t="s">
        <v>2</v>
      </c>
      <c r="D24" s="34"/>
      <c r="E24" s="28"/>
      <c r="F24" s="29"/>
      <c r="G24" s="35">
        <f>E24*F24</f>
        <v>0</v>
      </c>
      <c r="H24" s="203"/>
      <c r="I24" s="6"/>
    </row>
    <row r="25" spans="2:14" ht="16">
      <c r="B25" s="200"/>
      <c r="C25" s="32" t="s">
        <v>14</v>
      </c>
      <c r="D25" s="27"/>
      <c r="E25" s="28"/>
      <c r="F25" s="29"/>
      <c r="G25" s="30">
        <f t="shared" ref="G25:G26" si="3">E25*F25</f>
        <v>0</v>
      </c>
      <c r="H25" s="203"/>
      <c r="I25" s="6"/>
    </row>
    <row r="26" spans="2:14" ht="16">
      <c r="B26" s="200"/>
      <c r="C26" s="32" t="s">
        <v>15</v>
      </c>
      <c r="D26" s="36"/>
      <c r="E26" s="37"/>
      <c r="F26" s="38"/>
      <c r="G26" s="35">
        <f t="shared" si="3"/>
        <v>0</v>
      </c>
      <c r="H26" s="203"/>
      <c r="I26" s="6"/>
    </row>
    <row r="27" spans="2:14" ht="16" thickBot="1">
      <c r="B27" s="200"/>
      <c r="C27" s="39"/>
      <c r="D27" s="40"/>
      <c r="E27" s="41"/>
      <c r="F27" s="42" t="s">
        <v>74</v>
      </c>
      <c r="G27" s="35">
        <f>SUM(G13:G26)</f>
        <v>199.5</v>
      </c>
      <c r="H27" s="203"/>
      <c r="I27" s="6"/>
    </row>
    <row r="28" spans="2:14" ht="16" thickBot="1">
      <c r="B28" s="200"/>
      <c r="C28" s="207"/>
      <c r="D28" s="207"/>
      <c r="E28" s="207"/>
      <c r="F28" s="207"/>
      <c r="G28" s="207"/>
      <c r="H28" s="203"/>
      <c r="I28" s="6"/>
    </row>
    <row r="29" spans="2:14" ht="15">
      <c r="B29" s="200"/>
      <c r="C29" s="43" t="s">
        <v>51</v>
      </c>
      <c r="D29" s="25"/>
      <c r="E29" s="44"/>
      <c r="F29" s="45"/>
      <c r="G29" s="46"/>
      <c r="H29" s="203"/>
      <c r="I29" s="6"/>
      <c r="N29" s="225"/>
    </row>
    <row r="30" spans="2:14" ht="16">
      <c r="B30" s="200"/>
      <c r="C30" s="47" t="s">
        <v>43</v>
      </c>
      <c r="D30" s="27"/>
      <c r="E30" s="48"/>
      <c r="F30" s="49"/>
      <c r="G30" s="30">
        <f t="shared" ref="G30:G31" si="4">E30*F30</f>
        <v>0</v>
      </c>
      <c r="H30" s="212"/>
      <c r="I30" s="7"/>
    </row>
    <row r="31" spans="2:14" ht="16">
      <c r="B31" s="200"/>
      <c r="C31" s="47" t="s">
        <v>27</v>
      </c>
      <c r="D31" s="27"/>
      <c r="E31" s="48"/>
      <c r="F31" s="49"/>
      <c r="G31" s="30">
        <f t="shared" si="4"/>
        <v>0</v>
      </c>
      <c r="H31" s="212"/>
      <c r="I31" s="7"/>
    </row>
    <row r="32" spans="2:14" ht="16">
      <c r="B32" s="200"/>
      <c r="C32" s="47" t="s">
        <v>28</v>
      </c>
      <c r="D32" s="50"/>
      <c r="E32" s="51"/>
      <c r="F32" s="52"/>
      <c r="G32" s="53">
        <f>E32*F32</f>
        <v>0</v>
      </c>
      <c r="H32" s="212"/>
      <c r="I32" s="7"/>
    </row>
    <row r="33" spans="2:9" ht="16" thickBot="1">
      <c r="B33" s="200"/>
      <c r="C33" s="54"/>
      <c r="D33" s="40"/>
      <c r="E33" s="41"/>
      <c r="F33" s="42" t="s">
        <v>75</v>
      </c>
      <c r="G33" s="35">
        <f>SUM(G30:G32)</f>
        <v>0</v>
      </c>
      <c r="H33" s="212"/>
      <c r="I33" s="7"/>
    </row>
    <row r="34" spans="2:9" ht="15">
      <c r="B34" s="200"/>
      <c r="C34" s="207"/>
      <c r="D34" s="207"/>
      <c r="E34" s="207"/>
      <c r="F34" s="207"/>
      <c r="G34" s="207"/>
      <c r="H34" s="203"/>
      <c r="I34" s="6"/>
    </row>
    <row r="35" spans="2:9" ht="16">
      <c r="B35" s="200"/>
      <c r="C35" s="89" t="s">
        <v>73</v>
      </c>
      <c r="D35" s="27"/>
      <c r="E35" s="55"/>
      <c r="F35" s="55"/>
      <c r="G35" s="56"/>
      <c r="H35" s="203"/>
      <c r="I35" s="6"/>
    </row>
    <row r="36" spans="2:9" ht="16">
      <c r="B36" s="200"/>
      <c r="C36" s="26" t="s">
        <v>35</v>
      </c>
      <c r="D36" s="27"/>
      <c r="E36" s="90">
        <f>C7</f>
        <v>23</v>
      </c>
      <c r="F36" s="57">
        <v>2</v>
      </c>
      <c r="G36" s="30">
        <f>E36*F36</f>
        <v>46</v>
      </c>
      <c r="H36" s="203"/>
      <c r="I36" s="6"/>
    </row>
    <row r="37" spans="2:9" ht="16">
      <c r="B37" s="200"/>
      <c r="C37" s="26" t="s">
        <v>34</v>
      </c>
      <c r="D37" s="27"/>
      <c r="E37" s="58"/>
      <c r="F37" s="59"/>
      <c r="G37" s="30">
        <f>E37*F37</f>
        <v>0</v>
      </c>
      <c r="H37" s="203"/>
      <c r="I37" s="6"/>
    </row>
    <row r="38" spans="2:9" ht="16">
      <c r="B38" s="200"/>
      <c r="C38" s="26" t="s">
        <v>41</v>
      </c>
      <c r="D38" s="60"/>
      <c r="E38" s="58"/>
      <c r="F38" s="59"/>
      <c r="G38" s="30">
        <f>E38*F38</f>
        <v>0</v>
      </c>
      <c r="H38" s="203"/>
      <c r="I38" s="6"/>
    </row>
    <row r="39" spans="2:9" ht="16">
      <c r="B39" s="200"/>
      <c r="C39" s="26" t="s">
        <v>87</v>
      </c>
      <c r="D39" s="27"/>
      <c r="E39" s="58">
        <v>23</v>
      </c>
      <c r="F39" s="59">
        <v>5</v>
      </c>
      <c r="G39" s="30">
        <f t="shared" ref="G39" si="5">E39*F39</f>
        <v>115</v>
      </c>
      <c r="H39" s="203"/>
      <c r="I39" s="6"/>
    </row>
    <row r="40" spans="2:9" ht="16">
      <c r="B40" s="200"/>
      <c r="C40" s="26" t="s">
        <v>33</v>
      </c>
      <c r="D40" s="27"/>
      <c r="E40" s="58"/>
      <c r="F40" s="59"/>
      <c r="G40" s="30">
        <f>E40*F40</f>
        <v>0</v>
      </c>
      <c r="H40" s="203"/>
      <c r="I40" s="6"/>
    </row>
    <row r="41" spans="2:9" ht="16">
      <c r="B41" s="200"/>
      <c r="C41" s="26" t="s">
        <v>32</v>
      </c>
      <c r="D41" s="27"/>
      <c r="E41" s="58"/>
      <c r="F41" s="59"/>
      <c r="G41" s="30">
        <f t="shared" ref="G41:G42" si="6">E41*F41</f>
        <v>0</v>
      </c>
      <c r="H41" s="203"/>
      <c r="I41" s="6"/>
    </row>
    <row r="42" spans="2:9" ht="16">
      <c r="B42" s="200"/>
      <c r="C42" s="26" t="s">
        <v>31</v>
      </c>
      <c r="D42" s="27"/>
      <c r="E42" s="61"/>
      <c r="F42" s="62"/>
      <c r="G42" s="30">
        <f t="shared" si="6"/>
        <v>0</v>
      </c>
      <c r="H42" s="203"/>
      <c r="I42" s="6"/>
    </row>
    <row r="43" spans="2:9" ht="15">
      <c r="B43" s="203"/>
      <c r="C43" s="63"/>
      <c r="D43" s="64"/>
      <c r="E43" s="65"/>
      <c r="F43" s="66" t="s">
        <v>76</v>
      </c>
      <c r="G43" s="35">
        <f>SUM(G36:G42)</f>
        <v>161</v>
      </c>
      <c r="H43" s="203"/>
      <c r="I43" s="6"/>
    </row>
    <row r="44" spans="2:9" ht="16" thickBot="1">
      <c r="B44" s="200"/>
      <c r="C44" s="219"/>
      <c r="D44" s="219"/>
      <c r="E44" s="219"/>
      <c r="F44" s="219"/>
      <c r="G44" s="219"/>
      <c r="H44" s="203"/>
      <c r="I44" s="6"/>
    </row>
    <row r="45" spans="2:9" ht="16" thickBot="1">
      <c r="B45" s="200"/>
      <c r="C45" s="67"/>
      <c r="D45" s="68"/>
      <c r="E45" s="69"/>
      <c r="F45" s="69" t="s">
        <v>67</v>
      </c>
      <c r="G45" s="70">
        <f>G10+G27+G33+G43</f>
        <v>895.68209221802169</v>
      </c>
      <c r="H45" s="213"/>
      <c r="I45" s="9"/>
    </row>
    <row r="46" spans="2:9" ht="16" thickBot="1">
      <c r="B46" s="200"/>
      <c r="C46" s="207"/>
      <c r="D46" s="207"/>
      <c r="E46" s="207"/>
      <c r="F46" s="207"/>
      <c r="G46" s="207"/>
      <c r="H46" s="200"/>
    </row>
    <row r="47" spans="2:9" ht="20" thickBot="1">
      <c r="B47" s="200"/>
      <c r="C47" s="220"/>
      <c r="D47" s="237" t="s">
        <v>69</v>
      </c>
      <c r="E47" s="238"/>
      <c r="F47" s="238"/>
      <c r="G47" s="87">
        <f>C4</f>
        <v>150</v>
      </c>
      <c r="H47" s="214"/>
      <c r="I47" s="10"/>
    </row>
    <row r="48" spans="2:9" ht="16" thickBot="1">
      <c r="B48" s="200"/>
      <c r="C48" s="220"/>
      <c r="D48" s="222"/>
      <c r="E48" s="222"/>
      <c r="F48" s="222"/>
      <c r="G48" s="223"/>
      <c r="H48" s="214"/>
      <c r="I48" s="10"/>
    </row>
    <row r="49" spans="2:9" ht="19">
      <c r="B49" s="200"/>
      <c r="C49" s="220"/>
      <c r="D49" s="239" t="s">
        <v>77</v>
      </c>
      <c r="E49" s="240"/>
      <c r="F49" s="240"/>
      <c r="G49" s="91">
        <f>G47*D4</f>
        <v>2250</v>
      </c>
      <c r="H49" s="215"/>
      <c r="I49" s="11"/>
    </row>
    <row r="50" spans="2:9" ht="19">
      <c r="B50" s="200"/>
      <c r="C50" s="220"/>
      <c r="D50" s="230" t="s">
        <v>80</v>
      </c>
      <c r="E50" s="231"/>
      <c r="F50" s="231"/>
      <c r="G50" s="92">
        <f>G49-G45</f>
        <v>1354.3179077819782</v>
      </c>
      <c r="H50" s="216"/>
      <c r="I50" s="12"/>
    </row>
    <row r="51" spans="2:9" ht="19">
      <c r="B51" s="200"/>
      <c r="C51" s="220"/>
      <c r="D51" s="93"/>
      <c r="E51" s="94"/>
      <c r="F51" s="95" t="s">
        <v>60</v>
      </c>
      <c r="G51" s="96">
        <f>IF(G49=0, "0",G50/G49)</f>
        <v>0.60191907012532364</v>
      </c>
      <c r="H51" s="216"/>
      <c r="I51" s="12"/>
    </row>
    <row r="52" spans="2:9" ht="15">
      <c r="B52" s="200"/>
      <c r="C52" s="220"/>
      <c r="D52" s="72"/>
      <c r="E52" s="73"/>
      <c r="F52" s="73" t="s">
        <v>82</v>
      </c>
      <c r="G52" s="161">
        <v>0.1</v>
      </c>
      <c r="H52" s="216"/>
      <c r="I52" s="12"/>
    </row>
    <row r="53" spans="2:9" ht="16" thickBot="1">
      <c r="B53" s="200"/>
      <c r="C53" s="220"/>
      <c r="D53" s="74"/>
      <c r="E53" s="75"/>
      <c r="F53" s="75" t="s">
        <v>81</v>
      </c>
      <c r="G53" s="76">
        <f>G49*G52</f>
        <v>225</v>
      </c>
      <c r="H53" s="200"/>
    </row>
    <row r="54" spans="2:9" ht="16" thickBot="1">
      <c r="B54" s="200"/>
      <c r="C54" s="220"/>
      <c r="D54" s="232"/>
      <c r="E54" s="232"/>
      <c r="F54" s="232"/>
      <c r="G54" s="232"/>
      <c r="H54" s="217"/>
      <c r="I54" s="13"/>
    </row>
    <row r="55" spans="2:9" ht="16" thickBot="1">
      <c r="B55" s="200"/>
      <c r="C55" s="220"/>
      <c r="D55" s="77"/>
      <c r="E55" s="78"/>
      <c r="F55" s="78" t="s">
        <v>45</v>
      </c>
      <c r="G55" s="79">
        <f>IF(G45=0, "0",G45/D4)</f>
        <v>59.712139481201447</v>
      </c>
      <c r="H55" s="217"/>
      <c r="I55" s="13"/>
    </row>
    <row r="56" spans="2:9" ht="16" thickBot="1">
      <c r="B56" s="200"/>
      <c r="C56" s="220"/>
      <c r="D56" s="77"/>
      <c r="E56" s="78"/>
      <c r="F56" s="78" t="s">
        <v>44</v>
      </c>
      <c r="G56" s="79">
        <f>G50/D4</f>
        <v>90.287860518798553</v>
      </c>
      <c r="H56" s="217"/>
      <c r="I56" s="13"/>
    </row>
    <row r="57" spans="2:9" ht="15">
      <c r="B57" s="200"/>
      <c r="C57" s="220"/>
      <c r="D57" s="77"/>
      <c r="E57" s="78"/>
      <c r="F57" s="78" t="s">
        <v>71</v>
      </c>
      <c r="G57" s="80">
        <f>G49/C7</f>
        <v>97.826086956521735</v>
      </c>
      <c r="H57" s="218" t="s">
        <v>42</v>
      </c>
      <c r="I57" s="14"/>
    </row>
    <row r="58" spans="2:9" ht="15">
      <c r="B58" s="200"/>
      <c r="C58" s="220"/>
      <c r="D58" s="81"/>
      <c r="E58" s="71"/>
      <c r="F58" s="71" t="s">
        <v>72</v>
      </c>
      <c r="G58" s="82">
        <f>G45/C7</f>
        <v>38.942699661653116</v>
      </c>
      <c r="H58" s="218"/>
      <c r="I58" s="14"/>
    </row>
    <row r="59" spans="2:9" ht="16" thickBot="1">
      <c r="B59" s="200"/>
      <c r="C59" s="220"/>
      <c r="D59" s="74"/>
      <c r="E59" s="75"/>
      <c r="F59" s="75" t="s">
        <v>66</v>
      </c>
      <c r="G59" s="83">
        <f>G50/C7</f>
        <v>58.883387294868619</v>
      </c>
      <c r="H59" s="218"/>
      <c r="I59" s="14"/>
    </row>
    <row r="60" spans="2:9">
      <c r="B60" s="200"/>
      <c r="C60" s="221"/>
      <c r="D60" s="221"/>
      <c r="E60" s="221"/>
      <c r="F60" s="221"/>
      <c r="G60" s="221"/>
      <c r="H60" s="218"/>
      <c r="I60" s="14"/>
    </row>
  </sheetData>
  <mergeCells count="7">
    <mergeCell ref="D50:F50"/>
    <mergeCell ref="D54:G54"/>
    <mergeCell ref="K8:N8"/>
    <mergeCell ref="J3:M3"/>
    <mergeCell ref="C5:D5"/>
    <mergeCell ref="D47:F47"/>
    <mergeCell ref="D49:F49"/>
  </mergeCells>
  <conditionalFormatting sqref="G51">
    <cfRule type="cellIs" dxfId="2" priority="1" operator="equal">
      <formula>0</formula>
    </cfRule>
    <cfRule type="cellIs" priority="2" operator="equal">
      <formula>0</formula>
    </cfRule>
    <cfRule type="cellIs" dxfId="1" priority="3" operator="lessThan">
      <formula>0.6</formula>
    </cfRule>
    <cfRule type="cellIs" dxfId="0" priority="4" operator="greaterThan">
      <formula>0.6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275E-1DCE-1B46-A944-BF10761748A5}">
  <dimension ref="A2:M39"/>
  <sheetViews>
    <sheetView topLeftCell="A15" zoomScaleNormal="100" workbookViewId="0">
      <selection activeCell="B37" sqref="B37"/>
    </sheetView>
  </sheetViews>
  <sheetFormatPr baseColWidth="10" defaultColWidth="11.5" defaultRowHeight="15"/>
  <cols>
    <col min="1" max="1" width="4.5" customWidth="1"/>
    <col min="2" max="2" width="25.83203125" customWidth="1"/>
    <col min="3" max="3" width="15.33203125" customWidth="1"/>
    <col min="13" max="13" width="4.5" customWidth="1"/>
  </cols>
  <sheetData>
    <row r="2" spans="1:13" ht="45" customHeight="1">
      <c r="A2" s="206"/>
      <c r="B2" s="241" t="s">
        <v>91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06"/>
    </row>
    <row r="3" spans="1:13" ht="32" customHeight="1" thickBot="1">
      <c r="A3" s="206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06"/>
    </row>
    <row r="4" spans="1:13" ht="25" customHeight="1" thickBot="1">
      <c r="A4" s="206"/>
      <c r="B4" s="246" t="s">
        <v>84</v>
      </c>
      <c r="C4" s="247"/>
      <c r="D4" s="247"/>
      <c r="E4" s="247"/>
      <c r="F4" s="247"/>
      <c r="G4" s="247"/>
      <c r="H4" s="247"/>
      <c r="I4" s="247"/>
      <c r="J4" s="247"/>
      <c r="K4" s="247"/>
      <c r="L4" s="248"/>
      <c r="M4" s="206"/>
    </row>
    <row r="5" spans="1:13">
      <c r="A5" s="206"/>
      <c r="B5" s="251"/>
      <c r="C5" s="249"/>
      <c r="D5" s="122" t="s">
        <v>21</v>
      </c>
      <c r="E5" s="122" t="s">
        <v>21</v>
      </c>
      <c r="F5" s="122" t="s">
        <v>21</v>
      </c>
      <c r="G5" s="122" t="s">
        <v>21</v>
      </c>
      <c r="H5" s="122" t="s">
        <v>21</v>
      </c>
      <c r="I5" s="122" t="s">
        <v>21</v>
      </c>
      <c r="J5" s="122" t="s">
        <v>21</v>
      </c>
      <c r="K5" s="123" t="s">
        <v>22</v>
      </c>
      <c r="L5" s="124"/>
      <c r="M5" s="206"/>
    </row>
    <row r="6" spans="1:13" ht="16.5" customHeight="1">
      <c r="A6" s="206"/>
      <c r="B6" s="252"/>
      <c r="C6" s="250"/>
      <c r="D6" s="125">
        <v>1</v>
      </c>
      <c r="E6" s="126">
        <f t="shared" ref="E6:J6" si="0">D6+1</f>
        <v>2</v>
      </c>
      <c r="F6" s="126">
        <f t="shared" si="0"/>
        <v>3</v>
      </c>
      <c r="G6" s="126">
        <f t="shared" si="0"/>
        <v>4</v>
      </c>
      <c r="H6" s="126">
        <f t="shared" si="0"/>
        <v>5</v>
      </c>
      <c r="I6" s="126">
        <f t="shared" si="0"/>
        <v>6</v>
      </c>
      <c r="J6" s="126">
        <f t="shared" si="0"/>
        <v>7</v>
      </c>
      <c r="K6" s="127" t="s">
        <v>23</v>
      </c>
      <c r="L6" s="128" t="s">
        <v>16</v>
      </c>
      <c r="M6" s="206"/>
    </row>
    <row r="7" spans="1:13">
      <c r="A7" s="206"/>
      <c r="B7" s="165" t="s">
        <v>64</v>
      </c>
      <c r="C7" s="129"/>
      <c r="D7" s="130">
        <v>3000</v>
      </c>
      <c r="E7" s="130">
        <v>4000</v>
      </c>
      <c r="F7" s="130">
        <v>5000</v>
      </c>
      <c r="G7" s="130">
        <v>6000</v>
      </c>
      <c r="H7" s="130">
        <v>7000</v>
      </c>
      <c r="I7" s="130">
        <v>8000</v>
      </c>
      <c r="J7" s="130">
        <v>9000</v>
      </c>
      <c r="K7" s="130">
        <v>10000</v>
      </c>
      <c r="L7" s="131">
        <f>SUM(D7:K7)/COUNT(D7:K7)</f>
        <v>6500</v>
      </c>
      <c r="M7" s="206"/>
    </row>
    <row r="8" spans="1:13">
      <c r="A8" s="206"/>
      <c r="B8" s="166" t="s">
        <v>55</v>
      </c>
      <c r="C8" s="132"/>
      <c r="D8" s="133">
        <v>173.33333333333334</v>
      </c>
      <c r="E8" s="133">
        <v>173.33</v>
      </c>
      <c r="F8" s="133">
        <v>173.33333333333334</v>
      </c>
      <c r="G8" s="133">
        <v>173.33333333333334</v>
      </c>
      <c r="H8" s="133">
        <v>173.33333333333334</v>
      </c>
      <c r="I8" s="133">
        <v>173.33333333333334</v>
      </c>
      <c r="J8" s="133">
        <v>173.33333333333334</v>
      </c>
      <c r="K8" s="133">
        <v>173.33333333333334</v>
      </c>
      <c r="L8" s="134">
        <v>173.33333333333334</v>
      </c>
      <c r="M8" s="206"/>
    </row>
    <row r="9" spans="1:13">
      <c r="A9" s="206"/>
      <c r="B9" s="167" t="s">
        <v>56</v>
      </c>
      <c r="C9" s="135"/>
      <c r="D9" s="169">
        <f t="shared" ref="D9:K9" si="1">D7/D8</f>
        <v>17.307692307692307</v>
      </c>
      <c r="E9" s="169">
        <f t="shared" si="1"/>
        <v>23.077366872439853</v>
      </c>
      <c r="F9" s="169">
        <f t="shared" si="1"/>
        <v>28.846153846153843</v>
      </c>
      <c r="G9" s="169">
        <f t="shared" si="1"/>
        <v>34.615384615384613</v>
      </c>
      <c r="H9" s="169">
        <f t="shared" si="1"/>
        <v>40.38461538461538</v>
      </c>
      <c r="I9" s="169">
        <f t="shared" si="1"/>
        <v>46.153846153846153</v>
      </c>
      <c r="J9" s="169">
        <f t="shared" si="1"/>
        <v>51.92307692307692</v>
      </c>
      <c r="K9" s="169">
        <f t="shared" si="1"/>
        <v>57.692307692307686</v>
      </c>
      <c r="L9" s="136">
        <f>SUM(D9:K9)/COUNT(D9:K9)</f>
        <v>37.500055474439591</v>
      </c>
      <c r="M9" s="206"/>
    </row>
    <row r="10" spans="1:13">
      <c r="A10" s="206"/>
      <c r="B10" s="167" t="s">
        <v>92</v>
      </c>
      <c r="C10" s="137">
        <f>1.1</f>
        <v>1.1000000000000001</v>
      </c>
      <c r="D10" s="170">
        <f t="shared" ref="D10:K10" si="2">$C10</f>
        <v>1.1000000000000001</v>
      </c>
      <c r="E10" s="170">
        <f t="shared" si="2"/>
        <v>1.1000000000000001</v>
      </c>
      <c r="F10" s="170">
        <f t="shared" si="2"/>
        <v>1.1000000000000001</v>
      </c>
      <c r="G10" s="170">
        <f t="shared" si="2"/>
        <v>1.1000000000000001</v>
      </c>
      <c r="H10" s="170">
        <f t="shared" si="2"/>
        <v>1.1000000000000001</v>
      </c>
      <c r="I10" s="170">
        <f t="shared" si="2"/>
        <v>1.1000000000000001</v>
      </c>
      <c r="J10" s="170">
        <f t="shared" si="2"/>
        <v>1.1000000000000001</v>
      </c>
      <c r="K10" s="170">
        <f t="shared" si="2"/>
        <v>1.1000000000000001</v>
      </c>
      <c r="L10" s="190"/>
      <c r="M10" s="206"/>
    </row>
    <row r="11" spans="1:13">
      <c r="A11" s="206"/>
      <c r="B11" s="167" t="s">
        <v>54</v>
      </c>
      <c r="C11" s="139"/>
      <c r="D11" s="171">
        <f t="shared" ref="D11:K11" si="3">D7*D10</f>
        <v>3300.0000000000005</v>
      </c>
      <c r="E11" s="171">
        <f t="shared" si="3"/>
        <v>4400</v>
      </c>
      <c r="F11" s="171">
        <f t="shared" si="3"/>
        <v>5500</v>
      </c>
      <c r="G11" s="171">
        <f t="shared" si="3"/>
        <v>6600.0000000000009</v>
      </c>
      <c r="H11" s="171">
        <f t="shared" si="3"/>
        <v>7700.0000000000009</v>
      </c>
      <c r="I11" s="171">
        <f t="shared" si="3"/>
        <v>8800</v>
      </c>
      <c r="J11" s="171">
        <f t="shared" si="3"/>
        <v>9900</v>
      </c>
      <c r="K11" s="171">
        <f t="shared" si="3"/>
        <v>11000</v>
      </c>
      <c r="L11" s="138">
        <f>SUM(D11:K11)/COUNT(D11:K11)</f>
        <v>7150</v>
      </c>
      <c r="M11" s="206"/>
    </row>
    <row r="12" spans="1:13" ht="16" thickBot="1">
      <c r="A12" s="206"/>
      <c r="B12" s="168" t="s">
        <v>57</v>
      </c>
      <c r="C12" s="140"/>
      <c r="D12" s="172">
        <f t="shared" ref="D12:K12" si="4">D11/D8</f>
        <v>19.03846153846154</v>
      </c>
      <c r="E12" s="172">
        <f t="shared" si="4"/>
        <v>25.385103559683838</v>
      </c>
      <c r="F12" s="172">
        <f t="shared" si="4"/>
        <v>31.73076923076923</v>
      </c>
      <c r="G12" s="172">
        <f t="shared" si="4"/>
        <v>38.07692307692308</v>
      </c>
      <c r="H12" s="172">
        <f t="shared" si="4"/>
        <v>44.423076923076927</v>
      </c>
      <c r="I12" s="172">
        <f t="shared" si="4"/>
        <v>50.769230769230766</v>
      </c>
      <c r="J12" s="172">
        <f t="shared" si="4"/>
        <v>57.115384615384613</v>
      </c>
      <c r="K12" s="172">
        <f t="shared" si="4"/>
        <v>63.46153846153846</v>
      </c>
      <c r="L12" s="141">
        <f>SUM(D12:K12)/COUNT(D12:K12)</f>
        <v>41.250061021883553</v>
      </c>
      <c r="M12" s="206"/>
    </row>
    <row r="13" spans="1:13" ht="16" thickBot="1">
      <c r="A13" s="206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6"/>
    </row>
    <row r="14" spans="1:13" ht="19">
      <c r="A14" s="206"/>
      <c r="B14" s="246" t="s">
        <v>61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8"/>
      <c r="M14" s="206"/>
    </row>
    <row r="15" spans="1:13">
      <c r="A15" s="206"/>
      <c r="B15" s="183" t="s">
        <v>54</v>
      </c>
      <c r="C15" s="142"/>
      <c r="D15" s="173">
        <f>D11</f>
        <v>3300.0000000000005</v>
      </c>
      <c r="E15" s="173">
        <f t="shared" ref="E15:K15" si="5">E11</f>
        <v>4400</v>
      </c>
      <c r="F15" s="173">
        <f t="shared" si="5"/>
        <v>5500</v>
      </c>
      <c r="G15" s="173">
        <f t="shared" si="5"/>
        <v>6600.0000000000009</v>
      </c>
      <c r="H15" s="173">
        <f t="shared" si="5"/>
        <v>7700.0000000000009</v>
      </c>
      <c r="I15" s="173">
        <f t="shared" si="5"/>
        <v>8800</v>
      </c>
      <c r="J15" s="173">
        <f t="shared" si="5"/>
        <v>9900</v>
      </c>
      <c r="K15" s="173">
        <f t="shared" si="5"/>
        <v>11000</v>
      </c>
      <c r="L15" s="138">
        <f>SUM(D15:K15)/COUNT(D15:K15)</f>
        <v>7150</v>
      </c>
      <c r="M15" s="206"/>
    </row>
    <row r="16" spans="1:13">
      <c r="A16" s="206"/>
      <c r="B16" s="166" t="s">
        <v>89</v>
      </c>
      <c r="C16" s="143">
        <f>0.03</f>
        <v>0.03</v>
      </c>
      <c r="D16" s="174">
        <f>$C16*D$15</f>
        <v>99.000000000000014</v>
      </c>
      <c r="E16" s="174">
        <f t="shared" ref="E16:K18" si="6">$C16*E$15</f>
        <v>132</v>
      </c>
      <c r="F16" s="174">
        <f t="shared" si="6"/>
        <v>165</v>
      </c>
      <c r="G16" s="174">
        <f t="shared" si="6"/>
        <v>198.00000000000003</v>
      </c>
      <c r="H16" s="174">
        <f t="shared" si="6"/>
        <v>231.00000000000003</v>
      </c>
      <c r="I16" s="174">
        <f t="shared" si="6"/>
        <v>264</v>
      </c>
      <c r="J16" s="174">
        <f t="shared" si="6"/>
        <v>297</v>
      </c>
      <c r="K16" s="174">
        <f t="shared" si="6"/>
        <v>330</v>
      </c>
      <c r="L16" s="138">
        <f t="shared" ref="L16:L18" si="7">$C16*L$11</f>
        <v>214.5</v>
      </c>
      <c r="M16" s="206"/>
    </row>
    <row r="17" spans="1:13">
      <c r="A17" s="206"/>
      <c r="B17" s="166" t="s">
        <v>17</v>
      </c>
      <c r="C17" s="143">
        <f>0.062</f>
        <v>6.2E-2</v>
      </c>
      <c r="D17" s="174">
        <f t="shared" ref="D17:D18" si="8">$C17*D$15</f>
        <v>204.60000000000002</v>
      </c>
      <c r="E17" s="174">
        <f t="shared" si="6"/>
        <v>272.8</v>
      </c>
      <c r="F17" s="174">
        <f t="shared" si="6"/>
        <v>341</v>
      </c>
      <c r="G17" s="174">
        <f t="shared" si="6"/>
        <v>409.20000000000005</v>
      </c>
      <c r="H17" s="174">
        <f t="shared" si="6"/>
        <v>477.40000000000003</v>
      </c>
      <c r="I17" s="174">
        <f t="shared" si="6"/>
        <v>545.6</v>
      </c>
      <c r="J17" s="174">
        <f t="shared" si="6"/>
        <v>613.79999999999995</v>
      </c>
      <c r="K17" s="174">
        <f t="shared" si="6"/>
        <v>682</v>
      </c>
      <c r="L17" s="138">
        <f t="shared" si="7"/>
        <v>443.3</v>
      </c>
      <c r="M17" s="206"/>
    </row>
    <row r="18" spans="1:13">
      <c r="A18" s="206"/>
      <c r="B18" s="166" t="s">
        <v>18</v>
      </c>
      <c r="C18" s="143">
        <f>0.0145</f>
        <v>1.4500000000000001E-2</v>
      </c>
      <c r="D18" s="174">
        <f t="shared" si="8"/>
        <v>47.850000000000009</v>
      </c>
      <c r="E18" s="174">
        <f t="shared" si="6"/>
        <v>63.800000000000004</v>
      </c>
      <c r="F18" s="174">
        <f t="shared" si="6"/>
        <v>79.75</v>
      </c>
      <c r="G18" s="174">
        <f t="shared" si="6"/>
        <v>95.700000000000017</v>
      </c>
      <c r="H18" s="174">
        <f t="shared" si="6"/>
        <v>111.65000000000002</v>
      </c>
      <c r="I18" s="174">
        <f t="shared" si="6"/>
        <v>127.60000000000001</v>
      </c>
      <c r="J18" s="174">
        <f t="shared" si="6"/>
        <v>143.55000000000001</v>
      </c>
      <c r="K18" s="174">
        <f t="shared" si="6"/>
        <v>159.5</v>
      </c>
      <c r="L18" s="138">
        <f t="shared" si="7"/>
        <v>103.67500000000001</v>
      </c>
      <c r="M18" s="206"/>
    </row>
    <row r="19" spans="1:13">
      <c r="A19" s="206"/>
      <c r="B19" s="166" t="s">
        <v>58</v>
      </c>
      <c r="C19" s="144">
        <v>100</v>
      </c>
      <c r="D19" s="174">
        <f t="shared" ref="D19:L21" si="9">$C19</f>
        <v>100</v>
      </c>
      <c r="E19" s="174">
        <f t="shared" si="9"/>
        <v>100</v>
      </c>
      <c r="F19" s="174">
        <f t="shared" si="9"/>
        <v>100</v>
      </c>
      <c r="G19" s="174">
        <f t="shared" si="9"/>
        <v>100</v>
      </c>
      <c r="H19" s="174">
        <f t="shared" si="9"/>
        <v>100</v>
      </c>
      <c r="I19" s="174">
        <f t="shared" si="9"/>
        <v>100</v>
      </c>
      <c r="J19" s="174">
        <f t="shared" si="9"/>
        <v>100</v>
      </c>
      <c r="K19" s="174">
        <f t="shared" si="9"/>
        <v>100</v>
      </c>
      <c r="L19" s="138">
        <f t="shared" si="9"/>
        <v>100</v>
      </c>
      <c r="M19" s="206"/>
    </row>
    <row r="20" spans="1:13">
      <c r="A20" s="206"/>
      <c r="B20" s="166" t="s">
        <v>19</v>
      </c>
      <c r="C20" s="144">
        <v>30</v>
      </c>
      <c r="D20" s="174">
        <f t="shared" si="9"/>
        <v>30</v>
      </c>
      <c r="E20" s="174">
        <f t="shared" si="9"/>
        <v>30</v>
      </c>
      <c r="F20" s="174">
        <f t="shared" si="9"/>
        <v>30</v>
      </c>
      <c r="G20" s="174">
        <f t="shared" si="9"/>
        <v>30</v>
      </c>
      <c r="H20" s="174">
        <f t="shared" si="9"/>
        <v>30</v>
      </c>
      <c r="I20" s="174">
        <f t="shared" si="9"/>
        <v>30</v>
      </c>
      <c r="J20" s="174">
        <f t="shared" si="9"/>
        <v>30</v>
      </c>
      <c r="K20" s="174">
        <f t="shared" si="9"/>
        <v>30</v>
      </c>
      <c r="L20" s="138">
        <f t="shared" si="9"/>
        <v>30</v>
      </c>
      <c r="M20" s="206"/>
    </row>
    <row r="21" spans="1:13">
      <c r="A21" s="206"/>
      <c r="B21" s="166" t="s">
        <v>20</v>
      </c>
      <c r="C21" s="144">
        <v>25</v>
      </c>
      <c r="D21" s="174">
        <f t="shared" si="9"/>
        <v>25</v>
      </c>
      <c r="E21" s="174">
        <f t="shared" si="9"/>
        <v>25</v>
      </c>
      <c r="F21" s="174">
        <f t="shared" si="9"/>
        <v>25</v>
      </c>
      <c r="G21" s="174">
        <f t="shared" si="9"/>
        <v>25</v>
      </c>
      <c r="H21" s="174">
        <f t="shared" si="9"/>
        <v>25</v>
      </c>
      <c r="I21" s="174">
        <f t="shared" si="9"/>
        <v>25</v>
      </c>
      <c r="J21" s="174">
        <f t="shared" si="9"/>
        <v>25</v>
      </c>
      <c r="K21" s="174">
        <f t="shared" si="9"/>
        <v>25</v>
      </c>
      <c r="L21" s="138">
        <f t="shared" si="9"/>
        <v>25</v>
      </c>
      <c r="M21" s="206"/>
    </row>
    <row r="22" spans="1:13" ht="16" thickBot="1">
      <c r="A22" s="206"/>
      <c r="B22" s="184" t="s">
        <v>59</v>
      </c>
      <c r="C22" s="145">
        <f>0.1</f>
        <v>0.1</v>
      </c>
      <c r="D22" s="175">
        <f t="shared" ref="D22:L22" si="10">$C22*D$11</f>
        <v>330.00000000000006</v>
      </c>
      <c r="E22" s="175">
        <f t="shared" si="10"/>
        <v>440</v>
      </c>
      <c r="F22" s="175">
        <f t="shared" si="10"/>
        <v>550</v>
      </c>
      <c r="G22" s="175">
        <f t="shared" si="10"/>
        <v>660.00000000000011</v>
      </c>
      <c r="H22" s="175">
        <f t="shared" si="10"/>
        <v>770.00000000000011</v>
      </c>
      <c r="I22" s="175">
        <f t="shared" si="10"/>
        <v>880</v>
      </c>
      <c r="J22" s="175">
        <f t="shared" si="10"/>
        <v>990</v>
      </c>
      <c r="K22" s="175">
        <f t="shared" si="10"/>
        <v>1100</v>
      </c>
      <c r="L22" s="146">
        <f t="shared" si="10"/>
        <v>715</v>
      </c>
      <c r="M22" s="206"/>
    </row>
    <row r="23" spans="1:13">
      <c r="A23" s="206"/>
      <c r="B23" s="185" t="s">
        <v>52</v>
      </c>
      <c r="C23" s="147">
        <v>12</v>
      </c>
      <c r="D23" s="176">
        <f t="shared" ref="D23:L23" si="11">$C23</f>
        <v>12</v>
      </c>
      <c r="E23" s="176">
        <f t="shared" si="11"/>
        <v>12</v>
      </c>
      <c r="F23" s="176">
        <f t="shared" si="11"/>
        <v>12</v>
      </c>
      <c r="G23" s="176">
        <f t="shared" si="11"/>
        <v>12</v>
      </c>
      <c r="H23" s="176">
        <f t="shared" si="11"/>
        <v>12</v>
      </c>
      <c r="I23" s="176">
        <f t="shared" si="11"/>
        <v>12</v>
      </c>
      <c r="J23" s="176">
        <f t="shared" si="11"/>
        <v>12</v>
      </c>
      <c r="K23" s="176">
        <f t="shared" si="11"/>
        <v>12</v>
      </c>
      <c r="L23" s="148">
        <f t="shared" si="11"/>
        <v>12</v>
      </c>
      <c r="M23" s="206"/>
    </row>
    <row r="24" spans="1:13" ht="16" thickBot="1">
      <c r="A24" s="206"/>
      <c r="B24" s="186" t="s">
        <v>53</v>
      </c>
      <c r="C24" s="149"/>
      <c r="D24" s="177">
        <f>D12*D23</f>
        <v>228.46153846153848</v>
      </c>
      <c r="E24" s="177">
        <f t="shared" ref="E24:K24" si="12">E12*E23</f>
        <v>304.62124271620604</v>
      </c>
      <c r="F24" s="177">
        <f t="shared" si="12"/>
        <v>380.76923076923077</v>
      </c>
      <c r="G24" s="177">
        <f t="shared" si="12"/>
        <v>456.92307692307696</v>
      </c>
      <c r="H24" s="177">
        <f t="shared" si="12"/>
        <v>533.07692307692309</v>
      </c>
      <c r="I24" s="177">
        <f t="shared" si="12"/>
        <v>609.23076923076917</v>
      </c>
      <c r="J24" s="177">
        <f t="shared" si="12"/>
        <v>685.38461538461536</v>
      </c>
      <c r="K24" s="177">
        <f t="shared" si="12"/>
        <v>761.53846153846155</v>
      </c>
      <c r="L24" s="150">
        <f>L12*L23</f>
        <v>495.00073226260264</v>
      </c>
      <c r="M24" s="206"/>
    </row>
    <row r="25" spans="1:13" ht="20" thickBot="1">
      <c r="A25" s="206"/>
      <c r="B25" s="187" t="s">
        <v>24</v>
      </c>
      <c r="C25" s="163"/>
      <c r="D25" s="178">
        <f t="shared" ref="D25:L25" si="13">SUM(D16:D22)+D24</f>
        <v>1064.9115384615386</v>
      </c>
      <c r="E25" s="178">
        <f t="shared" si="13"/>
        <v>1368.221242716206</v>
      </c>
      <c r="F25" s="178">
        <f t="shared" si="13"/>
        <v>1671.5192307692307</v>
      </c>
      <c r="G25" s="178">
        <f t="shared" si="13"/>
        <v>1974.823076923077</v>
      </c>
      <c r="H25" s="178">
        <f t="shared" si="13"/>
        <v>2278.126923076923</v>
      </c>
      <c r="I25" s="178">
        <f t="shared" si="13"/>
        <v>2581.4307692307693</v>
      </c>
      <c r="J25" s="178">
        <f t="shared" si="13"/>
        <v>2884.7346153846152</v>
      </c>
      <c r="K25" s="178">
        <f t="shared" si="13"/>
        <v>3188.0384615384614</v>
      </c>
      <c r="L25" s="164">
        <f t="shared" si="13"/>
        <v>2126.4757322626024</v>
      </c>
      <c r="M25" s="206"/>
    </row>
    <row r="26" spans="1:13" ht="16" thickBot="1">
      <c r="A26" s="20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06"/>
    </row>
    <row r="27" spans="1:13" ht="19">
      <c r="A27" s="206"/>
      <c r="B27" s="246" t="s">
        <v>65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8"/>
      <c r="M27" s="206"/>
    </row>
    <row r="28" spans="1:13">
      <c r="A28" s="206"/>
      <c r="B28" s="183" t="s">
        <v>62</v>
      </c>
      <c r="C28" s="151"/>
      <c r="D28" s="179">
        <f t="shared" ref="D28:L28" si="14">D25/D8</f>
        <v>6.1437204142011836</v>
      </c>
      <c r="E28" s="179">
        <f t="shared" si="14"/>
        <v>7.8937358952068646</v>
      </c>
      <c r="F28" s="179">
        <f t="shared" si="14"/>
        <v>9.6433801775147927</v>
      </c>
      <c r="G28" s="179">
        <f t="shared" si="14"/>
        <v>11.393210059171597</v>
      </c>
      <c r="H28" s="179">
        <f t="shared" si="14"/>
        <v>13.143039940828402</v>
      </c>
      <c r="I28" s="179">
        <f t="shared" si="14"/>
        <v>14.892869822485206</v>
      </c>
      <c r="J28" s="179">
        <f t="shared" si="14"/>
        <v>16.642699704142011</v>
      </c>
      <c r="K28" s="179">
        <f t="shared" si="14"/>
        <v>18.392529585798815</v>
      </c>
      <c r="L28" s="136">
        <f t="shared" si="14"/>
        <v>12.268129224591936</v>
      </c>
      <c r="M28" s="206"/>
    </row>
    <row r="29" spans="1:13">
      <c r="A29" s="206"/>
      <c r="B29" s="167" t="s">
        <v>63</v>
      </c>
      <c r="C29" s="139"/>
      <c r="D29" s="180">
        <f t="shared" ref="D29:L29" si="15">(D31/D11)-1</f>
        <v>0.32270046620046622</v>
      </c>
      <c r="E29" s="180">
        <f t="shared" si="15"/>
        <v>0.31095937334459212</v>
      </c>
      <c r="F29" s="180">
        <f t="shared" si="15"/>
        <v>0.30391258741258742</v>
      </c>
      <c r="G29" s="180">
        <f t="shared" si="15"/>
        <v>0.29921561771561755</v>
      </c>
      <c r="H29" s="180">
        <f t="shared" si="15"/>
        <v>0.29586063936063933</v>
      </c>
      <c r="I29" s="180">
        <f t="shared" si="15"/>
        <v>0.29334440559440567</v>
      </c>
      <c r="J29" s="180">
        <f t="shared" si="15"/>
        <v>0.29138733488733481</v>
      </c>
      <c r="K29" s="180">
        <f t="shared" si="15"/>
        <v>0.28982167832167827</v>
      </c>
      <c r="L29" s="152">
        <f t="shared" si="15"/>
        <v>0.29740919332344085</v>
      </c>
      <c r="M29" s="206"/>
    </row>
    <row r="30" spans="1:13" ht="19">
      <c r="A30" s="206"/>
      <c r="B30" s="188" t="s">
        <v>85</v>
      </c>
      <c r="C30" s="157"/>
      <c r="D30" s="181">
        <f t="shared" ref="D30:K30" si="16">D12+D28</f>
        <v>25.182181952662724</v>
      </c>
      <c r="E30" s="181">
        <f t="shared" si="16"/>
        <v>33.278839454890701</v>
      </c>
      <c r="F30" s="181">
        <f t="shared" si="16"/>
        <v>41.374149408284026</v>
      </c>
      <c r="G30" s="181">
        <f t="shared" si="16"/>
        <v>49.470133136094674</v>
      </c>
      <c r="H30" s="181">
        <f t="shared" si="16"/>
        <v>57.566116863905329</v>
      </c>
      <c r="I30" s="181">
        <f t="shared" si="16"/>
        <v>65.662100591715969</v>
      </c>
      <c r="J30" s="181">
        <f t="shared" si="16"/>
        <v>73.758084319526631</v>
      </c>
      <c r="K30" s="181">
        <f t="shared" si="16"/>
        <v>81.854068047337279</v>
      </c>
      <c r="L30" s="158">
        <f>SUM(D30:K30)/COUNT(D30:K30)</f>
        <v>53.518209221802167</v>
      </c>
      <c r="M30" s="206"/>
    </row>
    <row r="31" spans="1:13" ht="20" thickBot="1">
      <c r="A31" s="206"/>
      <c r="B31" s="189" t="s">
        <v>86</v>
      </c>
      <c r="C31" s="159"/>
      <c r="D31" s="182">
        <f t="shared" ref="D31:K31" si="17">D11+D25</f>
        <v>4364.9115384615388</v>
      </c>
      <c r="E31" s="182">
        <f t="shared" si="17"/>
        <v>5768.2212427162058</v>
      </c>
      <c r="F31" s="182">
        <f t="shared" si="17"/>
        <v>7171.5192307692305</v>
      </c>
      <c r="G31" s="182">
        <f t="shared" si="17"/>
        <v>8574.8230769230777</v>
      </c>
      <c r="H31" s="182">
        <f t="shared" si="17"/>
        <v>9978.1269230769249</v>
      </c>
      <c r="I31" s="182">
        <f t="shared" si="17"/>
        <v>11381.43076923077</v>
      </c>
      <c r="J31" s="182">
        <f t="shared" si="17"/>
        <v>12784.734615384616</v>
      </c>
      <c r="K31" s="182">
        <f t="shared" si="17"/>
        <v>14188.038461538461</v>
      </c>
      <c r="L31" s="160">
        <f>SUM(D31:K31)/COUNT(D31:K31)</f>
        <v>9276.4757322626028</v>
      </c>
      <c r="M31" s="206"/>
    </row>
    <row r="32" spans="1:13" ht="19">
      <c r="A32" s="206"/>
      <c r="B32" s="227" t="s">
        <v>88</v>
      </c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06"/>
    </row>
    <row r="33" spans="1:13" ht="24" customHeight="1">
      <c r="A33" s="206"/>
      <c r="B33" s="227" t="s">
        <v>90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6"/>
    </row>
    <row r="34" spans="1:13" ht="16" thickBot="1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5"/>
    </row>
    <row r="35" spans="1:13" ht="19">
      <c r="A35" s="155"/>
      <c r="B35" s="243" t="s">
        <v>78</v>
      </c>
      <c r="C35" s="244"/>
      <c r="D35" s="244"/>
      <c r="E35" s="245"/>
      <c r="F35" s="156"/>
      <c r="G35" s="156"/>
      <c r="H35" s="156"/>
      <c r="I35" s="156"/>
      <c r="J35" s="156"/>
      <c r="K35" s="156"/>
      <c r="L35" s="156"/>
      <c r="M35" s="155"/>
    </row>
    <row r="36" spans="1:13">
      <c r="A36" s="155"/>
      <c r="B36" s="191" t="s">
        <v>94</v>
      </c>
      <c r="C36" s="102"/>
      <c r="D36" s="102"/>
      <c r="E36" s="192"/>
      <c r="F36" s="153"/>
      <c r="G36" s="153"/>
      <c r="H36" s="153"/>
      <c r="I36" s="156"/>
      <c r="J36" s="156"/>
      <c r="K36" s="156"/>
      <c r="L36" s="156"/>
      <c r="M36" s="155"/>
    </row>
    <row r="37" spans="1:13">
      <c r="A37" s="155"/>
      <c r="B37" s="193" t="s">
        <v>36</v>
      </c>
      <c r="C37" s="104"/>
      <c r="D37" s="104"/>
      <c r="E37" s="194"/>
      <c r="F37" s="153"/>
      <c r="G37" s="153"/>
      <c r="H37" s="153"/>
      <c r="I37" s="156"/>
      <c r="J37" s="156"/>
      <c r="K37" s="156"/>
      <c r="L37" s="156"/>
      <c r="M37" s="155"/>
    </row>
    <row r="38" spans="1:13">
      <c r="A38" s="155"/>
      <c r="B38" s="195" t="s">
        <v>70</v>
      </c>
      <c r="C38" s="106"/>
      <c r="D38" s="106"/>
      <c r="E38" s="196"/>
      <c r="F38" s="153"/>
      <c r="G38" s="153"/>
      <c r="H38" s="153"/>
      <c r="I38" s="156"/>
      <c r="J38" s="156"/>
      <c r="K38" s="156"/>
      <c r="L38" s="156"/>
      <c r="M38" s="155"/>
    </row>
    <row r="39" spans="1:13" ht="16" thickBot="1">
      <c r="A39" s="155"/>
      <c r="B39" s="197" t="s">
        <v>93</v>
      </c>
      <c r="C39" s="198"/>
      <c r="D39" s="198"/>
      <c r="E39" s="199"/>
      <c r="F39" s="155"/>
      <c r="G39" s="155"/>
      <c r="H39" s="155"/>
      <c r="I39" s="155"/>
      <c r="J39" s="155"/>
      <c r="K39" s="155"/>
      <c r="L39" s="155"/>
      <c r="M39" s="155"/>
    </row>
  </sheetData>
  <mergeCells count="7">
    <mergeCell ref="B2:L3"/>
    <mergeCell ref="B35:E35"/>
    <mergeCell ref="B27:L27"/>
    <mergeCell ref="B4:L4"/>
    <mergeCell ref="C5:C6"/>
    <mergeCell ref="B5:B6"/>
    <mergeCell ref="B14:L14"/>
  </mergeCells>
  <pageMargins left="0.7" right="0.7" top="0.75" bottom="0.75" header="0.3" footer="0.3"/>
  <ignoredErrors>
    <ignoredError sqref="D22:F22 G22:L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TECH Cost--Burdened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Young</dc:creator>
  <cp:lastModifiedBy>Microsoft Office User</cp:lastModifiedBy>
  <cp:lastPrinted>2018-05-23T04:54:10Z</cp:lastPrinted>
  <dcterms:created xsi:type="dcterms:W3CDTF">2010-11-12T02:16:34Z</dcterms:created>
  <dcterms:modified xsi:type="dcterms:W3CDTF">2022-06-16T16:14:29Z</dcterms:modified>
</cp:coreProperties>
</file>